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Z:\資料依頼未処理\未処理\Qorvo_20190830_大西\提出資料\"/>
    </mc:Choice>
  </mc:AlternateContent>
  <workbookProtection workbookPassword="E31B" lockStructure="1"/>
  <bookViews>
    <workbookView xWindow="0" yWindow="0" windowWidth="19200" windowHeight="7350" tabRatio="789" firstSheet="1"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c r="B56" i="6"/>
  <c r="G56" i="6" s="1"/>
  <c r="B55" i="6"/>
  <c r="G55" i="6" s="1"/>
  <c r="B54" i="6"/>
  <c r="G54" i="6" s="1"/>
  <c r="B53" i="6"/>
  <c r="G53" i="6" s="1"/>
  <c r="B50" i="6"/>
  <c r="G50" i="6" s="1"/>
  <c r="H14" i="6"/>
  <c r="H61" i="4"/>
  <c r="B86" i="4"/>
  <c r="B23" i="6" l="1"/>
  <c r="B3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D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11" i="5" l="1"/>
  <c r="B14" i="5"/>
  <c r="B7" i="5"/>
  <c r="B9" i="5"/>
  <c r="C11" i="5"/>
  <c r="C14" i="5"/>
  <c r="C7" i="5"/>
  <c r="C9" i="5"/>
  <c r="B10" i="5"/>
  <c r="C5" i="5"/>
  <c r="C8" i="5"/>
  <c r="B5" i="5"/>
  <c r="B6" i="5"/>
  <c r="B8" i="5"/>
  <c r="C6" i="5"/>
  <c r="C10" i="5"/>
  <c r="B43" i="6"/>
  <c r="B48" i="6"/>
  <c r="C13" i="6"/>
  <c r="C12" i="6"/>
  <c r="C8" i="6"/>
  <c r="C7" i="6"/>
  <c r="C11" i="6"/>
  <c r="C10" i="6"/>
  <c r="C4" i="6"/>
  <c r="C5" i="6"/>
  <c r="B28" i="6"/>
  <c r="B33" i="6"/>
  <c r="G33" i="6" s="1"/>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G41" i="6" s="1"/>
  <c r="F63" i="6"/>
  <c r="G21" i="6"/>
  <c r="H21" i="6" s="1"/>
  <c r="B26" i="6"/>
  <c r="G26" i="6" s="1"/>
  <c r="H26" i="6" s="1"/>
  <c r="C26" i="6" s="1"/>
  <c r="B36" i="6"/>
  <c r="B46" i="6"/>
  <c r="G46" i="6" s="1"/>
  <c r="G31" i="6"/>
  <c r="H22" i="6"/>
  <c r="D22" i="6" s="1"/>
  <c r="G47" i="6"/>
  <c r="G42" i="6"/>
  <c r="K65" i="6"/>
  <c r="C65" i="6" s="1"/>
  <c r="G27" i="6"/>
  <c r="G32" i="6"/>
  <c r="G43" i="6"/>
  <c r="G38" i="6"/>
  <c r="G35" i="6"/>
  <c r="G28"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47" i="6" l="1"/>
  <c r="D47" i="6" s="1"/>
  <c r="H42" i="6"/>
  <c r="C42" i="6" s="1"/>
  <c r="H37" i="6"/>
  <c r="C37" i="6" s="1"/>
  <c r="F41" i="6"/>
  <c r="H41" i="6" s="1"/>
  <c r="H36" i="6"/>
  <c r="C36" i="6" s="1"/>
  <c r="H25" i="6"/>
  <c r="C25" i="6" s="1"/>
  <c r="K64" i="6"/>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66" i="6" s="1"/>
  <c r="C27" i="6"/>
  <c r="D27" i="6"/>
  <c r="F56" i="6"/>
  <c r="H56" i="6" s="1"/>
  <c r="F59" i="6"/>
  <c r="H59" i="6" s="1"/>
  <c r="F54" i="6"/>
  <c r="H54" i="6" s="1"/>
  <c r="C54" i="6" s="1"/>
  <c r="F51" i="6"/>
  <c r="F55" i="6"/>
  <c r="H55" i="6" s="1"/>
  <c r="F60" i="6"/>
  <c r="H60" i="6" s="1"/>
  <c r="F58" i="6"/>
  <c r="H58" i="6" s="1"/>
  <c r="F53" i="6"/>
  <c r="H53" i="6" s="1"/>
  <c r="H50" i="6"/>
  <c r="C61" i="6"/>
  <c r="D61" i="6"/>
  <c r="C47" i="6"/>
  <c r="S466" i="5"/>
  <c r="T466" i="5"/>
  <c r="D32" i="6" l="1"/>
  <c r="D42" i="6"/>
  <c r="D37" i="6"/>
  <c r="C41" i="6"/>
  <c r="D41" i="6"/>
  <c r="D35" i="6"/>
  <c r="C35" i="6"/>
  <c r="G57" i="5"/>
  <c r="I57" i="5"/>
  <c r="E57" i="5"/>
  <c r="I541" i="5"/>
  <c r="G541" i="5"/>
  <c r="E541" i="5"/>
  <c r="X541" i="5" s="1"/>
  <c r="H541" i="5"/>
  <c r="J57" i="5"/>
  <c r="R541" i="5"/>
  <c r="F57" i="5"/>
  <c r="H57" i="5"/>
  <c r="G73" i="5"/>
  <c r="F468" i="5"/>
  <c r="J541" i="5"/>
  <c r="F73" i="5"/>
  <c r="H73" i="5"/>
  <c r="J73" i="5"/>
  <c r="I73" i="5"/>
  <c r="J33" i="5"/>
  <c r="R33" i="5"/>
  <c r="I17" i="5"/>
  <c r="R17" i="5"/>
  <c r="H17" i="5"/>
  <c r="F33" i="5"/>
  <c r="I33" i="5"/>
  <c r="E33" i="5"/>
  <c r="X33" i="5" s="1"/>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468"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64" i="5"/>
  <c r="T28" i="5"/>
  <c r="T580" i="5"/>
  <c r="T416" i="5"/>
  <c r="T461" i="5"/>
  <c r="T456" i="5"/>
  <c r="T465" i="5"/>
  <c r="T425" i="5"/>
  <c r="T218" i="5"/>
  <c r="T156" i="5"/>
  <c r="T92" i="5"/>
  <c r="T490" i="5"/>
  <c r="T383" i="5"/>
  <c r="T212" i="5"/>
  <c r="T110" i="5"/>
  <c r="T70" i="5"/>
  <c r="T21" i="5"/>
  <c r="T75" i="5"/>
  <c r="T115" i="5"/>
  <c r="T98" i="5"/>
  <c r="T81" i="5"/>
  <c r="T569" i="5"/>
  <c r="T379" i="5"/>
  <c r="T391" i="5"/>
  <c r="T505" i="5"/>
  <c r="T274" i="5"/>
  <c r="T196" i="5"/>
  <c r="T172" i="5"/>
  <c r="T108" i="5"/>
  <c r="T20" i="5"/>
  <c r="T27"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8" i="5"/>
  <c r="T15" i="5"/>
  <c r="S17" i="5"/>
  <c r="T17" i="5"/>
  <c r="T9" i="5"/>
  <c r="T5" i="5"/>
  <c r="T14" i="5"/>
  <c r="T12" i="5"/>
  <c r="T10" i="5"/>
  <c r="T11" i="5"/>
  <c r="T16" i="5"/>
  <c r="T6" i="5"/>
  <c r="T13" i="5"/>
  <c r="T8" i="5"/>
  <c r="T7" i="5"/>
  <c r="C64" i="6" l="1"/>
  <c r="C62" i="6"/>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274" i="5"/>
  <c r="S505" i="5"/>
  <c r="S509" i="5"/>
  <c r="S115" i="5"/>
  <c r="S67"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8" i="5"/>
  <c r="S9" i="5"/>
  <c r="S7" i="5"/>
  <c r="S6" i="5"/>
  <c r="S13" i="5"/>
  <c r="S14" i="5"/>
  <c r="S15" i="5"/>
  <c r="S11" i="5"/>
  <c r="S12" i="5"/>
  <c r="S5" i="5"/>
  <c r="S10" i="5"/>
  <c r="S16" i="5"/>
  <c r="S8"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<sst xmlns="http://schemas.openxmlformats.org/spreadsheetml/2006/main" count="21636" uniqueCount="15505">
  <si>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</si>
  <si>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</si>
  <si>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</si>
  <si>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</si>
  <si>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</si>
  <si>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</si>
  <si>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</si>
  <si>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</si>
  <si>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</si>
  <si>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</si>
  <si>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</si>
  <si>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</si>
  <si>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</si>
  <si>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</si>
  <si>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</si>
  <si>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</si>
  <si>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</si>
  <si>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</si>
  <si>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</si>
  <si>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</si>
  <si>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</si>
  <si>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</si>
  <si>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</si>
  <si>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</si>
  <si>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</si>
  <si>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</si>
  <si>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</si>
  <si>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</si>
  <si>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</si>
  <si>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</si>
  <si>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</si>
  <si>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</si>
  <si>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</si>
  <si>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</si>
  <si>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</si>
  <si>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</si>
  <si>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</si>
  <si>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</si>
  <si>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</si>
  <si>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</si>
  <si>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</si>
  <si>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</si>
  <si>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</si>
  <si>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</si>
  <si>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</si>
  <si>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</si>
  <si>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</si>
  <si>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</si>
  <si>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</si>
  <si>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</si>
  <si>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</si>
  <si>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</si>
  <si>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</si>
  <si>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</si>
  <si>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</si>
  <si>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</si>
  <si>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</si>
  <si>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</si>
  <si>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</si>
  <si>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</si>
  <si>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</si>
  <si>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</si>
  <si>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</si>
  <si>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</si>
  <si>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</si>
  <si>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</si>
  <si>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</si>
  <si>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</si>
  <si>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</si>
  <si>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</si>
  <si>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</si>
  <si>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</si>
  <si>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</si>
  <si>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</si>
  <si>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</si>
  <si>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</si>
  <si>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</si>
  <si>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</si>
  <si>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</si>
  <si>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</si>
  <si>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</si>
  <si>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</si>
  <si>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</si>
  <si>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</si>
  <si>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</si>
  <si>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</si>
  <si>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</si>
  <si>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</si>
  <si>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</si>
  <si>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</si>
  <si>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</si>
  <si>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</si>
  <si>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</si>
  <si>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</si>
  <si>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</si>
  <si>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</si>
  <si>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</si>
  <si>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</si>
  <si>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</si>
  <si>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</si>
  <si>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</si>
  <si>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</si>
  <si>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</si>
  <si>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</si>
  <si>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</si>
  <si>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</si>
  <si>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</si>
  <si>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</si>
  <si>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</si>
  <si>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</si>
  <si>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</si>
  <si>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</si>
  <si>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</si>
  <si>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</si>
  <si>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</si>
  <si>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</si>
  <si>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</si>
  <si>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</si>
  <si>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</si>
  <si>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</si>
  <si>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</si>
  <si>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</si>
  <si>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</si>
  <si>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</si>
  <si>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</si>
  <si>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</si>
  <si>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</si>
  <si>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</si>
  <si>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</si>
  <si>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</si>
  <si>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</si>
  <si>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</si>
  <si>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</si>
  <si>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</si>
  <si>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</si>
  <si>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</si>
  <si>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</si>
  <si>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</si>
  <si>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</si>
  <si>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</si>
  <si>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</si>
  <si>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</si>
  <si>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</si>
  <si>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</si>
  <si>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</si>
  <si>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</si>
  <si>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</si>
  <si>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</si>
  <si>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</si>
  <si>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</si>
  <si>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</si>
  <si>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</si>
  <si>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</si>
  <si>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</si>
  <si>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</si>
  <si>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</si>
  <si>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</si>
  <si>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</si>
  <si>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</si>
  <si>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</si>
  <si>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</si>
  <si>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</si>
  <si>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</si>
  <si>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</si>
  <si>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</si>
  <si>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</si>
  <si>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</si>
  <si>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</si>
  <si>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</si>
  <si>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</si>
  <si>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</si>
  <si>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</si>
  <si>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</si>
  <si>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</si>
  <si>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</si>
  <si>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</si>
  <si>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</si>
  <si>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</si>
  <si>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</si>
  <si>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</si>
  <si>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</si>
  <si>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</si>
  <si>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</si>
  <si>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</si>
  <si>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</si>
  <si>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</si>
  <si>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</si>
  <si>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</si>
  <si>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</si>
  <si>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</si>
  <si>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</si>
  <si>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</si>
  <si>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</si>
  <si>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</si>
  <si>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</si>
  <si>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</si>
  <si>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</si>
  <si>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</si>
  <si>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</si>
  <si>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</si>
  <si>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</si>
  <si>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</si>
  <si>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</si>
  <si>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</si>
  <si>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</si>
  <si>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</si>
  <si>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</si>
  <si>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</si>
  <si>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</si>
  <si>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</si>
  <si>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</si>
  <si>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</si>
  <si>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</si>
  <si>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</si>
  <si>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</si>
  <si>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</si>
  <si>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</si>
  <si>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</si>
  <si>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</si>
  <si>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</si>
  <si>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</si>
  <si>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</si>
  <si>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</si>
  <si>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</si>
  <si>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</si>
  <si>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</si>
  <si>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</si>
  <si>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</si>
  <si>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</si>
  <si>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</si>
  <si>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</si>
  <si>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</si>
  <si>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</si>
  <si>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</si>
  <si>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</si>
  <si>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</si>
  <si>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</si>
  <si>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</si>
  <si>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</si>
  <si>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</si>
  <si>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</si>
  <si>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</si>
  <si>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</si>
  <si>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</si>
  <si>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</si>
  <si>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</si>
  <si>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</si>
  <si>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</si>
  <si>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</si>
  <si>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</si>
  <si>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</si>
  <si>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</si>
  <si>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</si>
  <si>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</si>
  <si>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</si>
  <si>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</si>
  <si>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</si>
  <si>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</si>
  <si>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</si>
  <si>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</si>
  <si>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</si>
  <si>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</si>
  <si>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</si>
  <si>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</si>
  <si>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</si>
  <si>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</si>
  <si>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</si>
  <si>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</si>
  <si>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</si>
  <si>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</si>
  <si>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</si>
  <si>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</si>
  <si>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</si>
  <si>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</si>
  <si>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</si>
  <si>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</si>
  <si>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</si>
  <si>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</si>
  <si>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</si>
  <si>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</si>
  <si>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</si>
  <si>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</si>
  <si>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</si>
  <si>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</si>
  <si>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</si>
  <si>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</si>
  <si>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</si>
  <si>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</si>
  <si>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</si>
  <si>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</si>
  <si>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</si>
  <si>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</si>
  <si>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</si>
  <si>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</si>
  <si>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</si>
  <si>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</si>
  <si>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</si>
  <si>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</si>
  <si>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</si>
  <si>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</si>
  <si>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</si>
  <si>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</si>
  <si>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</si>
  <si>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</si>
  <si>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</si>
  <si>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</si>
  <si>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</si>
  <si>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</si>
  <si>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</si>
  <si>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</si>
  <si>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</si>
  <si>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</si>
  <si>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</si>
  <si>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</si>
  <si>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</si>
  <si>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</si>
  <si>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</si>
  <si>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</si>
  <si>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</si>
  <si>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</si>
  <si>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</si>
  <si>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</si>
  <si>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</si>
  <si>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</si>
  <si>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</si>
  <si>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</si>
  <si>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</si>
  <si>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</si>
  <si>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</si>
  <si>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</si>
  <si>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</si>
  <si>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</si>
  <si>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</si>
  <si>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</si>
  <si>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</si>
  <si>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</si>
  <si>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</si>
  <si>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</si>
  <si>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</si>
  <si>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</si>
  <si>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</si>
  <si>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</si>
  <si>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</si>
  <si>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</si>
  <si>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</si>
  <si>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</si>
  <si>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</si>
  <si>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</si>
  <si>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</si>
  <si>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</si>
  <si>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</si>
  <si>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</si>
  <si>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</si>
  <si>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</si>
  <si>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</si>
  <si>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</si>
  <si>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</si>
  <si>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</si>
  <si>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</si>
  <si>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</si>
  <si>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</si>
  <si>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</si>
  <si>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</si>
  <si>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</si>
  <si>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</si>
  <si>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</si>
  <si>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</si>
  <si>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</si>
  <si>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</si>
  <si>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</si>
  <si>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</si>
  <si>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</si>
  <si>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</si>
  <si>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</si>
  <si>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</si>
  <si>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</si>
  <si>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</si>
  <si>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</si>
  <si>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</si>
  <si>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</si>
  <si>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</si>
  <si>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</si>
  <si>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</si>
  <si>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</si>
  <si>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</si>
  <si>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</si>
  <si>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</si>
  <si>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</si>
  <si>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</si>
  <si>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</si>
  <si>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</si>
  <si>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</si>
  <si>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</si>
  <si>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</si>
  <si>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</si>
  <si>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</si>
  <si>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</si>
  <si>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</si>
  <si>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</si>
  <si>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</si>
  <si>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</si>
  <si>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</si>
  <si>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</si>
  <si>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</si>
  <si>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</si>
  <si>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</si>
  <si>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</si>
  <si>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</si>
  <si>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</si>
  <si>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</si>
  <si>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</si>
  <si>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</si>
  <si>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</si>
  <si>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</si>
  <si>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</si>
  <si>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</si>
  <si>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</si>
  <si>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</si>
  <si>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</si>
  <si>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</si>
  <si>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</si>
  <si>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</si>
  <si>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</si>
  <si>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</si>
  <si>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</si>
  <si>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</si>
  <si>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</si>
  <si>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</si>
  <si>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</si>
  <si>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</si>
  <si>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</si>
  <si>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</si>
  <si>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</si>
  <si>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</si>
  <si>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</si>
  <si>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</si>
  <si>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</si>
  <si>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</si>
  <si>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</si>
  <si>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</si>
  <si>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</si>
  <si>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</si>
  <si>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</si>
  <si>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</si>
  <si>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</si>
  <si>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</si>
  <si>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</si>
  <si>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</si>
  <si>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</si>
  <si>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</si>
  <si>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</si>
  <si>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</si>
  <si>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</si>
  <si>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</si>
  <si>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</si>
  <si>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</si>
  <si>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</si>
  <si>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</si>
  <si>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</si>
  <si>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</si>
  <si>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</si>
  <si>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</si>
  <si>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</si>
  <si>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</si>
  <si>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</si>
  <si>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</si>
  <si>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</si>
  <si>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</si>
  <si>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</si>
  <si>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</si>
  <si>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</si>
  <si>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</si>
  <si>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</si>
  <si>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</si>
  <si>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</si>
  <si>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</si>
  <si>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</si>
  <si>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</si>
  <si>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</si>
  <si>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</si>
  <si>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</si>
  <si>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</si>
  <si>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</si>
  <si>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</si>
  <si>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</si>
  <si>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</si>
  <si>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</si>
  <si>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</si>
  <si>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</si>
  <si>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</si>
  <si>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</si>
  <si>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</si>
  <si>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</si>
  <si>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</si>
  <si>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</si>
  <si>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</si>
  <si>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</si>
  <si>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</si>
  <si>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</si>
  <si>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</si>
  <si>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</si>
  <si>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</si>
  <si>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</si>
  <si>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</si>
  <si>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</si>
  <si>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</si>
  <si>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</si>
  <si>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</si>
  <si>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</si>
  <si>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</si>
  <si>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</si>
  <si>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</si>
  <si>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</si>
  <si>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</si>
  <si>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</si>
  <si>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</si>
  <si>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</si>
  <si>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</si>
  <si>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</si>
  <si>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</si>
  <si>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</si>
  <si>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</si>
  <si>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</si>
  <si>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</si>
  <si>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</si>
  <si>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</si>
  <si>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</si>
  <si>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</si>
  <si>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</si>
  <si>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</si>
  <si>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</si>
  <si>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</si>
  <si>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</si>
  <si>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</si>
  <si>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</si>
  <si>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</si>
  <si>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</si>
  <si>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</si>
  <si>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</si>
  <si>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</si>
  <si>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</si>
  <si>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</si>
  <si>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</si>
  <si>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</si>
  <si>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</si>
  <si>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</si>
  <si>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</si>
  <si>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</si>
  <si>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</si>
  <si>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</si>
  <si>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</si>
  <si>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</si>
  <si>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</si>
  <si>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</si>
  <si>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</si>
  <si>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</si>
  <si>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</si>
  <si>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</si>
  <si>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</si>
  <si>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</si>
  <si>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</si>
  <si>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</si>
  <si>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</si>
  <si>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</si>
  <si>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</si>
  <si>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</si>
  <si>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</si>
  <si>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</si>
  <si>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</si>
  <si>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</si>
  <si>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</si>
  <si>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</si>
  <si>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</si>
  <si>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</si>
  <si>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</si>
  <si>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</si>
  <si>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</si>
  <si>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</si>
  <si>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</si>
  <si>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</si>
  <si>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</si>
  <si>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</si>
  <si>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</si>
  <si>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</si>
  <si>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</si>
  <si>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</si>
  <si>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</si>
  <si>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</si>
  <si>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</si>
  <si>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</si>
  <si>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</si>
  <si>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</si>
  <si>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</si>
  <si>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</si>
  <si>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</si>
  <si>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</si>
  <si>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</si>
  <si>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</si>
  <si>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</si>
  <si>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</si>
  <si>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</si>
  <si>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</si>
  <si>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</si>
  <si>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</si>
  <si>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</si>
  <si>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</si>
  <si>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</si>
  <si>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</si>
  <si>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</si>
  <si>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</si>
  <si>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</si>
  <si>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</si>
  <si>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</si>
  <si>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</si>
  <si>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</si>
  <si>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</si>
  <si>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</si>
  <si>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</si>
  <si>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</si>
  <si>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</si>
  <si>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</si>
  <si>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</si>
  <si>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</si>
  <si>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</si>
  <si>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</si>
  <si>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</si>
  <si>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</si>
  <si>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</si>
  <si>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</si>
  <si>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</si>
  <si>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</si>
  <si>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</si>
  <si>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</si>
  <si>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</si>
  <si>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</si>
  <si>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</si>
  <si>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</si>
  <si>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</si>
  <si>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</si>
  <si>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</si>
  <si>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</si>
  <si>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</si>
  <si>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</si>
  <si>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</si>
  <si>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</si>
  <si>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</si>
  <si>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</si>
  <si>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</si>
  <si>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</si>
  <si>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</si>
  <si>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</si>
  <si>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</si>
  <si>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</si>
  <si>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</si>
  <si>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</si>
  <si>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</si>
  <si>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</si>
  <si>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</si>
  <si>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</si>
  <si>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</si>
  <si>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</si>
  <si>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</si>
  <si>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</si>
  <si>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</si>
  <si>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</si>
  <si>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</si>
  <si>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</si>
  <si>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</si>
  <si>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</si>
  <si>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</si>
  <si>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</si>
  <si>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</si>
  <si>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</si>
  <si>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</si>
  <si>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</si>
  <si>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</si>
  <si>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</si>
  <si>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</si>
  <si>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</si>
  <si>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</si>
  <si>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</si>
  <si>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</si>
  <si>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</si>
  <si>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</si>
  <si>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</si>
  <si>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</si>
  <si>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</si>
  <si>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</si>
  <si>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</si>
  <si>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</si>
  <si>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</si>
  <si>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</si>
  <si>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</si>
  <si>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</si>
  <si>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</si>
  <si>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</si>
  <si>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</si>
  <si>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</si>
  <si>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</si>
  <si>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</si>
  <si>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</si>
  <si>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</si>
  <si>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</si>
  <si>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</si>
  <si>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</si>
  <si>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</si>
  <si>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</si>
  <si>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</si>
  <si>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</si>
  <si>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</si>
  <si>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</si>
  <si>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</si>
  <si>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</si>
  <si>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</si>
  <si>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</si>
  <si>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</si>
  <si>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</si>
  <si>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</si>
  <si>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</si>
  <si>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</si>
  <si>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</si>
  <si>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</si>
  <si>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</si>
  <si>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</si>
  <si>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</si>
  <si>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</si>
  <si>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</si>
  <si>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</si>
  <si>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</si>
  <si>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</si>
  <si>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</si>
  <si>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</si>
  <si>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</si>
  <si>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</si>
  <si>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</si>
  <si>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</si>
  <si>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</si>
  <si>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</si>
  <si>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</si>
  <si>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</si>
  <si>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</si>
  <si>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</si>
  <si>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</si>
  <si>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</si>
  <si>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</si>
  <si>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</si>
  <si>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</si>
  <si>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</si>
  <si>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</si>
  <si>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</si>
  <si>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</si>
  <si>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</si>
  <si>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</si>
  <si>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</si>
  <si>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</si>
  <si>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</si>
  <si>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</si>
  <si>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</si>
  <si>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</si>
  <si>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</si>
  <si>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</si>
  <si>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</si>
  <si>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</si>
  <si>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</si>
  <si>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</si>
  <si>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</si>
  <si>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</si>
  <si>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</si>
  <si>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</si>
  <si>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</si>
  <si>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</si>
  <si>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</si>
  <si>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</si>
  <si>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</si>
  <si>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</si>
  <si>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</si>
  <si>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</si>
  <si>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</si>
  <si>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</si>
  <si>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</si>
  <si>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</si>
  <si>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</si>
  <si>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</si>
  <si>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</si>
  <si>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</si>
  <si>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</si>
  <si>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</si>
  <si>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</si>
  <si>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</si>
  <si>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</si>
  <si>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</si>
  <si>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</si>
  <si>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</si>
  <si>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</si>
  <si>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</si>
  <si>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</si>
  <si>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</si>
  <si>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</si>
  <si>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</si>
  <si>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</si>
  <si>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</si>
  <si>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</si>
  <si>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</si>
  <si>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</si>
  <si>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</si>
  <si>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</si>
  <si>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</si>
  <si>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</si>
  <si>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</si>
  <si>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</si>
  <si>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</si>
  <si>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</si>
  <si>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</si>
  <si>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</si>
  <si>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</si>
  <si>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</si>
  <si>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</si>
  <si>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</si>
  <si>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</si>
  <si>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</si>
  <si>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</si>
  <si>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</si>
  <si>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</si>
  <si>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</si>
  <si>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</si>
  <si>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</si>
  <si>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</si>
  <si>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</si>
  <si>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</si>
  <si>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</si>
  <si>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</si>
  <si>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</si>
  <si>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</si>
  <si>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</si>
  <si>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</si>
  <si>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</si>
  <si>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</si>
  <si>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</si>
  <si>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</si>
  <si>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</si>
  <si>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</si>
  <si>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</si>
  <si>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</si>
  <si>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</si>
  <si>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</si>
  <si>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</si>
  <si>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</si>
  <si>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</si>
  <si>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</si>
  <si>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</si>
  <si>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</si>
  <si>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</si>
  <si>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</si>
  <si>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</si>
  <si>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</si>
  <si>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</si>
  <si>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</si>
  <si>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</si>
  <si>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</si>
  <si>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</si>
  <si>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</si>
  <si>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</si>
  <si>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</si>
  <si>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</si>
  <si>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</si>
  <si>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</si>
  <si>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</si>
  <si>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</si>
  <si>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</si>
  <si>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</si>
  <si>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</si>
  <si>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</si>
  <si>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</si>
  <si>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</si>
  <si>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</si>
  <si>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</si>
  <si>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</si>
  <si>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</si>
  <si>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</si>
  <si>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</si>
  <si>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</si>
  <si>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</si>
  <si>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</si>
  <si>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</si>
  <si>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</si>
  <si>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</si>
  <si>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</si>
  <si>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</si>
  <si>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</si>
  <si>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</si>
  <si>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</si>
  <si>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</si>
  <si>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</si>
  <si>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</si>
  <si>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</si>
  <si>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</si>
  <si>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</si>
  <si>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</si>
  <si>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</si>
  <si>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</si>
  <si>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</si>
  <si>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</si>
  <si>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</si>
  <si>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</si>
  <si>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</si>
  <si>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</si>
  <si>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</si>
  <si>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</si>
  <si>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</si>
  <si>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</si>
  <si>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</si>
  <si>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</si>
  <si>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</si>
  <si>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</si>
  <si>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</si>
  <si>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</si>
  <si>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</si>
  <si>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</si>
  <si>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</si>
  <si>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</si>
  <si>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</si>
  <si>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</si>
  <si>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</si>
  <si>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</si>
  <si>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</si>
  <si>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</si>
  <si>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</si>
  <si>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</si>
  <si>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</si>
  <si>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</si>
  <si>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</si>
  <si>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</si>
  <si>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</si>
  <si>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</si>
  <si>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</si>
  <si>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</si>
  <si>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</si>
  <si>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</si>
  <si>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</si>
  <si>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</si>
  <si>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</si>
  <si>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</si>
  <si>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</si>
  <si>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</si>
  <si>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</si>
  <si>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</si>
  <si>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</si>
  <si>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</si>
  <si>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</si>
  <si>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</si>
  <si>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</si>
  <si>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</si>
  <si>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</si>
  <si>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</si>
  <si>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</si>
  <si>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</si>
  <si>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</si>
  <si>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</si>
  <si>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</si>
  <si>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</si>
  <si>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</si>
  <si>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</si>
  <si>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</si>
  <si>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</si>
  <si>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</si>
  <si>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</si>
  <si>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</si>
  <si>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</si>
  <si>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</si>
  <si>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</si>
  <si>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</si>
  <si>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</si>
  <si>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</si>
  <si>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</si>
  <si>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</si>
  <si>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</si>
  <si>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</si>
  <si>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</si>
  <si>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</si>
  <si>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</si>
  <si>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</si>
  <si>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</si>
  <si>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</si>
  <si>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</si>
  <si>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</si>
  <si>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</si>
  <si>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</si>
  <si>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</si>
  <si>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</si>
  <si>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</si>
  <si>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</si>
  <si>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</si>
  <si>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</si>
  <si>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</si>
  <si>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</si>
  <si>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</si>
  <si>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</si>
  <si>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</si>
  <si>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</si>
  <si>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</si>
  <si>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</si>
  <si>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</si>
  <si>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</si>
  <si>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</si>
  <si>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</si>
  <si>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</si>
  <si>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</si>
  <si>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</si>
  <si>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</si>
  <si>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</si>
  <si>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</si>
  <si>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</si>
  <si>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</si>
  <si>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</si>
  <si>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</si>
  <si>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</si>
  <si>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</si>
  <si>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</si>
  <si>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</si>
  <si>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</si>
  <si>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</si>
  <si>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</si>
  <si>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</si>
  <si>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</si>
  <si>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</si>
  <si>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</si>
  <si>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</si>
  <si>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</si>
  <si>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</si>
  <si>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</si>
  <si>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</si>
  <si>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</si>
  <si>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</si>
  <si>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</si>
  <si>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</si>
  <si>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</si>
  <si>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</si>
  <si>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</si>
  <si>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</si>
  <si>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</si>
  <si>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</si>
  <si>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</si>
  <si>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</si>
  <si>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</si>
  <si>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</si>
  <si>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</si>
  <si>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</si>
  <si>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</si>
  <si>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</si>
  <si>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</si>
  <si>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</si>
  <si>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</si>
  <si>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</si>
  <si>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</si>
  <si>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</si>
  <si>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</si>
  <si>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</si>
  <si>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</si>
  <si>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</si>
  <si>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</si>
  <si>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</si>
  <si>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</si>
  <si>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</si>
  <si>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</si>
  <si>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</si>
  <si>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</si>
  <si>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</si>
  <si>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</si>
  <si>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</si>
  <si>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</si>
  <si>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</si>
  <si>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</si>
  <si>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</si>
  <si>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</si>
  <si>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</si>
  <si>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</si>
  <si>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</si>
  <si>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</si>
  <si>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</si>
  <si>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</si>
  <si>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</si>
  <si>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</si>
  <si>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</si>
  <si>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</si>
  <si>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</si>
  <si>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</si>
  <si>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</si>
  <si>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</si>
  <si>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</si>
  <si>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</si>
  <si>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</si>
  <si>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</si>
  <si>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</si>
  <si>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</si>
  <si>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</si>
  <si>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</si>
  <si>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</si>
  <si>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</si>
  <si>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</si>
  <si>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</si>
  <si>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</si>
  <si>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</si>
  <si>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</si>
  <si>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</si>
  <si>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</si>
  <si>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</si>
  <si>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</si>
  <si>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</si>
  <si>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</si>
  <si>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</si>
  <si>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</si>
  <si>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</si>
  <si>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</si>
  <si>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</si>
  <si>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</si>
  <si>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</si>
  <si>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</si>
  <si>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</si>
  <si>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</si>
  <si>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</si>
  <si>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</si>
  <si>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</si>
  <si>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</si>
  <si>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</si>
  <si>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</si>
  <si>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</si>
  <si>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</si>
  <si>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</si>
  <si>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</si>
  <si>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</si>
  <si>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</si>
  <si>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</si>
  <si>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</si>
  <si>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</si>
  <si>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</si>
  <si>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</si>
  <si>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</si>
  <si>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</si>
  <si>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</si>
  <si>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</si>
  <si>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</si>
  <si>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</si>
  <si>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</si>
  <si>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</si>
  <si>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</si>
  <si>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</si>
  <si>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</si>
  <si>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</si>
  <si>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</si>
  <si>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</si>
  <si>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</si>
  <si>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</si>
  <si>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</si>
  <si>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</si>
  <si>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</si>
  <si>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</si>
  <si>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</si>
  <si>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</si>
  <si>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</si>
  <si>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</si>
  <si>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</si>
  <si>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</si>
  <si>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</si>
  <si>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</si>
  <si>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</si>
  <si>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</si>
  <si>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</si>
  <si>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</si>
  <si>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</si>
  <si>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</si>
  <si>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</si>
  <si>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</si>
  <si>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</si>
  <si>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</si>
  <si>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</si>
  <si>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</si>
  <si>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</si>
  <si>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</si>
  <si>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</si>
  <si>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</si>
  <si>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</si>
  <si>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</si>
  <si>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</si>
  <si>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</si>
  <si>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</si>
  <si>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</si>
  <si>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</si>
  <si>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</si>
  <si>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</si>
  <si>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</si>
  <si>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</si>
  <si>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</si>
  <si>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</si>
  <si>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</si>
  <si>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</si>
  <si>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</si>
  <si>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</si>
  <si>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</si>
  <si>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</si>
  <si>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</si>
  <si>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</si>
  <si>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</si>
  <si>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</si>
  <si>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</si>
  <si>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</si>
  <si>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</si>
  <si>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</si>
  <si>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</si>
  <si>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</si>
  <si>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</si>
  <si>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</si>
  <si>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</si>
  <si>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</si>
  <si>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</si>
  <si>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</si>
  <si>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</si>
  <si>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</si>
  <si>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</si>
  <si>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</si>
  <si>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</si>
  <si>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</si>
  <si>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</si>
  <si>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</si>
  <si>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</si>
  <si>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</si>
  <si>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</si>
  <si>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</si>
  <si>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</si>
  <si>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</si>
  <si>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</si>
  <si>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</si>
  <si>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</si>
  <si>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</si>
  <si>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</si>
  <si>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</si>
  <si>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</si>
  <si>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</si>
  <si>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</si>
  <si>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</si>
  <si>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</si>
  <si>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</si>
  <si>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</si>
  <si>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</si>
  <si>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</si>
  <si>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</si>
  <si>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</si>
  <si>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</si>
  <si>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</si>
  <si>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</si>
  <si>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</si>
  <si>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</si>
  <si>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</si>
  <si>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</si>
  <si>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</si>
  <si>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</si>
  <si>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</si>
  <si>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</si>
  <si>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</si>
  <si>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</si>
  <si>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</si>
  <si>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</si>
  <si>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</si>
  <si>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</si>
  <si>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</si>
  <si>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</si>
  <si>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</si>
  <si>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</si>
  <si>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</si>
  <si>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</si>
  <si>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</si>
  <si>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</si>
  <si>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</si>
  <si>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</si>
  <si>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</si>
  <si>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</si>
  <si>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</si>
  <si>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</si>
  <si>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</si>
  <si>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</si>
  <si>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</si>
  <si>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</si>
  <si>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</si>
  <si>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</si>
  <si>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</si>
  <si>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</si>
  <si>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</si>
  <si>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</si>
  <si>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</si>
  <si>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</si>
  <si>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</si>
  <si>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</si>
  <si>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</si>
  <si>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</si>
  <si>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</si>
  <si>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</si>
  <si>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</si>
  <si>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</si>
  <si>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</si>
  <si>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</si>
  <si>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</si>
  <si>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</si>
  <si>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</si>
  <si>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</si>
  <si>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</si>
  <si>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</si>
  <si>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</si>
  <si>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</si>
  <si>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</si>
  <si>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</si>
  <si>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</si>
  <si>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</si>
  <si>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</si>
  <si>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</si>
  <si>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</si>
  <si>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</si>
  <si>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</si>
  <si>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</si>
  <si>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</si>
  <si>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</si>
  <si>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</si>
  <si>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</si>
  <si>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</si>
  <si>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</si>
  <si>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</si>
  <si>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</si>
  <si>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</si>
  <si>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</si>
  <si>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</si>
  <si>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</si>
  <si>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</si>
  <si>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</si>
  <si>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</si>
  <si>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</si>
  <si>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</si>
  <si>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</si>
  <si>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</si>
  <si>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</si>
  <si>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</si>
  <si>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</si>
  <si>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</si>
  <si>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</si>
  <si>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</si>
  <si>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</si>
  <si>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</si>
  <si>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</si>
  <si>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</si>
  <si>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</si>
  <si>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</si>
  <si>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</si>
  <si>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</si>
  <si>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</si>
  <si>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</si>
  <si>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</si>
  <si>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</si>
  <si>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</si>
  <si>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</si>
  <si>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</si>
  <si>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</si>
  <si>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</si>
  <si>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</si>
  <si>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</si>
  <si>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</si>
  <si>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</si>
  <si>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</si>
  <si>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</si>
  <si>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</si>
  <si>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</si>
  <si>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</si>
  <si>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</si>
  <si>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</si>
  <si>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</si>
  <si>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</si>
  <si>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</si>
  <si>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</si>
  <si>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</si>
  <si>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</si>
  <si>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</si>
  <si>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</si>
  <si>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</si>
  <si>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</si>
  <si>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</si>
  <si>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</si>
  <si>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</si>
  <si>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</si>
  <si>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</si>
  <si>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</si>
  <si>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</si>
  <si>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</si>
  <si>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</si>
  <si>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</si>
  <si>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</si>
  <si>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</si>
  <si>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</si>
  <si>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</si>
  <si>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</si>
  <si>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</si>
  <si>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</si>
  <si>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</si>
  <si>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</si>
  <si>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</si>
  <si>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</si>
  <si>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</si>
  <si>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</si>
  <si>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</si>
  <si>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</si>
  <si>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</si>
  <si>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</si>
  <si>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</si>
  <si>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</si>
  <si>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</si>
  <si>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</si>
  <si>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</si>
  <si>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</si>
  <si>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</si>
  <si>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</si>
  <si>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</si>
  <si>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</si>
  <si>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</si>
  <si>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</si>
  <si>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</si>
  <si>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</si>
  <si>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</si>
  <si>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</si>
  <si>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</si>
  <si>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</si>
  <si>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</si>
  <si>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</si>
  <si>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</si>
  <si>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</si>
  <si>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</si>
  <si>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</si>
  <si>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</si>
  <si>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</si>
  <si>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</si>
  <si>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</si>
  <si>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</si>
  <si>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</si>
  <si>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</si>
  <si>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</si>
  <si>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</si>
  <si>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</si>
  <si>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</si>
  <si>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</si>
  <si>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</si>
  <si>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</si>
  <si>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</si>
  <si>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</si>
  <si>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</si>
  <si>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</si>
  <si>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</si>
  <si>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</si>
  <si>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</si>
  <si>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</si>
  <si>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</si>
  <si>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</si>
  <si>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</si>
  <si>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</si>
  <si>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</si>
  <si>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</si>
  <si>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</si>
  <si>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</si>
  <si>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</si>
  <si>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</si>
  <si>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</si>
  <si>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</si>
  <si>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</si>
  <si>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</si>
  <si>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</si>
  <si>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</si>
  <si>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</si>
  <si>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</si>
  <si>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</si>
  <si>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</si>
  <si>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</si>
  <si>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</si>
  <si>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</si>
  <si>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</si>
  <si>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</si>
  <si>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</si>
  <si>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</si>
  <si>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</si>
  <si>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</si>
  <si>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</si>
  <si>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</si>
  <si>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</si>
  <si>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</si>
  <si>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</si>
  <si>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</si>
  <si>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</si>
  <si>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</si>
  <si>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</si>
  <si>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</si>
  <si>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</si>
  <si>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</si>
  <si>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</si>
  <si>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</si>
  <si>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</si>
  <si>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</si>
  <si>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</si>
  <si>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</si>
  <si>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</si>
  <si>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</si>
  <si>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</si>
  <si>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</si>
  <si>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</si>
  <si>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</si>
  <si>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</si>
  <si>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</si>
  <si>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</si>
  <si>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</si>
  <si>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</si>
  <si>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</si>
  <si>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</si>
  <si>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</si>
  <si>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</si>
  <si>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</si>
  <si>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</si>
  <si>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</si>
  <si>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</si>
  <si>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</si>
  <si>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</si>
  <si>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</si>
  <si>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</si>
  <si>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</si>
  <si>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</si>
  <si>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</si>
  <si>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</si>
  <si>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</si>
  <si>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</si>
  <si>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</si>
  <si>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</si>
  <si>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</si>
  <si>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</si>
  <si>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</si>
  <si>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</si>
  <si>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</si>
  <si>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</si>
  <si>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</si>
  <si>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</si>
  <si>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</si>
  <si>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</si>
  <si>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</si>
  <si>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</si>
  <si>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</si>
  <si>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</si>
  <si>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</si>
  <si>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</si>
  <si>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</si>
  <si>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</si>
  <si>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</si>
  <si>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</si>
  <si>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</si>
  <si>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</si>
  <si>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</si>
  <si>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</si>
  <si>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</si>
  <si>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</si>
  <si>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</si>
  <si>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</si>
  <si>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</si>
  <si>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</si>
  <si>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</si>
  <si>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</si>
  <si>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</si>
  <si>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</si>
  <si>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</si>
  <si>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</si>
  <si>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</si>
  <si>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</si>
  <si>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</si>
  <si>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</si>
  <si>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</si>
  <si>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</si>
  <si>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</si>
  <si>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</si>
  <si>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</si>
  <si>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</si>
  <si>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</si>
  <si>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</si>
  <si>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</si>
  <si>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</si>
  <si>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</si>
  <si>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</si>
  <si>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</si>
  <si>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</si>
  <si>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</si>
  <si>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</si>
  <si>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</si>
  <si>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</si>
  <si>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</si>
  <si>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</si>
  <si>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</si>
  <si>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</si>
  <si>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</si>
  <si>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</si>
  <si>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</si>
  <si>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</si>
  <si>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</si>
  <si>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</si>
  <si>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</si>
  <si>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</si>
  <si>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</si>
  <si>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</si>
  <si>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</si>
  <si>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</si>
  <si>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</si>
  <si>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</si>
  <si>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</si>
  <si>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</si>
  <si>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</si>
  <si>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</si>
  <si>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</si>
  <si>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</si>
  <si>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</si>
  <si>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</si>
  <si>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</si>
  <si>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</si>
  <si>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</si>
  <si>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</si>
  <si>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</si>
  <si>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</si>
  <si>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</si>
  <si>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</si>
  <si>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</si>
  <si>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</si>
  <si>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</si>
  <si>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</si>
  <si>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</si>
  <si>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</si>
  <si>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</si>
  <si>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</si>
  <si>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</si>
  <si>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</si>
  <si>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</si>
  <si>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</si>
  <si>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</si>
  <si>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</si>
  <si>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</si>
  <si>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</si>
  <si>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</si>
  <si>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</si>
  <si>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</si>
  <si>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</si>
  <si>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</si>
  <si>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</si>
  <si>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</si>
  <si>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</si>
  <si>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</si>
  <si>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</si>
  <si>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</si>
  <si>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</si>
  <si>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</si>
  <si>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</si>
  <si>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</si>
  <si>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</si>
  <si>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</si>
  <si>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</si>
  <si>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</si>
  <si>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</si>
  <si>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</si>
  <si>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</si>
  <si>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</si>
  <si>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</si>
  <si>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</si>
  <si>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</si>
  <si>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</si>
  <si>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</si>
  <si>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</si>
  <si>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</si>
  <si>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</si>
  <si>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</si>
  <si>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</si>
  <si>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</si>
  <si>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</si>
  <si>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</si>
  <si>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</si>
  <si>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</si>
  <si>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</si>
  <si>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</si>
  <si>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</si>
  <si>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</si>
  <si>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</si>
  <si>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</si>
  <si>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</si>
  <si>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</si>
  <si>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</si>
  <si>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</si>
  <si>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</si>
  <si>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</si>
  <si>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</si>
  <si>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</si>
  <si>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</si>
  <si>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</si>
  <si>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</si>
  <si>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</si>
  <si>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</si>
  <si>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</si>
  <si>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</si>
  <si>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</si>
  <si>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</si>
  <si>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</si>
  <si>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</si>
  <si>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</si>
  <si>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</si>
  <si>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</si>
  <si>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</si>
  <si>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</si>
  <si>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</si>
  <si>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</si>
  <si>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</si>
  <si>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</si>
  <si>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</si>
  <si>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</si>
  <si>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</si>
  <si>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</si>
  <si>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</si>
  <si>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</si>
  <si>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</si>
  <si>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</si>
  <si>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</si>
  <si>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</si>
  <si>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</si>
  <si>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</si>
  <si>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</si>
  <si>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</si>
  <si>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</si>
  <si>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</si>
  <si>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</si>
  <si>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</si>
  <si>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</si>
  <si>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</si>
  <si>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</si>
  <si>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</si>
  <si>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</si>
  <si>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</si>
  <si>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</si>
  <si>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</si>
  <si>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</si>
  <si>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</si>
  <si>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</si>
  <si>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</si>
  <si>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</si>
  <si>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</si>
  <si>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</si>
  <si>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</si>
  <si>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</si>
  <si>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</si>
  <si>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</si>
  <si>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</si>
  <si>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</si>
  <si>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</si>
  <si>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</si>
  <si>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</si>
  <si>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</si>
  <si>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</si>
  <si>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</si>
  <si>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</si>
  <si>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</si>
  <si>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</si>
  <si>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</si>
  <si>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</si>
  <si>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</si>
  <si>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</si>
  <si>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</si>
  <si>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</si>
  <si>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</si>
  <si>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</si>
  <si>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</si>
  <si>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</si>
  <si>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</si>
  <si>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</si>
  <si>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</si>
  <si>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</si>
  <si>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</si>
  <si>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</si>
  <si>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</si>
  <si>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</si>
  <si>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</si>
  <si>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</si>
  <si>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</si>
  <si>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</si>
  <si>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</si>
  <si>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</si>
  <si>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</si>
  <si>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</si>
  <si>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</si>
  <si>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</si>
  <si>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</si>
  <si>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</si>
  <si>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</si>
  <si>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</si>
  <si>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</si>
  <si>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</si>
  <si>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</si>
  <si>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</si>
  <si>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</si>
  <si>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</si>
  <si>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</si>
  <si>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</si>
  <si>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</si>
  <si>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</si>
  <si>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</si>
  <si>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</si>
  <si>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</si>
  <si>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</si>
  <si>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</si>
  <si>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</si>
  <si>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</si>
  <si>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</si>
  <si>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</si>
  <si>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</si>
  <si>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</si>
  <si>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</si>
  <si>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</si>
  <si>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</si>
  <si>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</si>
  <si>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</si>
  <si>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</si>
  <si>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</si>
  <si>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</si>
  <si>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</si>
  <si>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</si>
  <si>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</si>
  <si>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</si>
  <si>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</si>
  <si>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</si>
  <si>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</si>
  <si>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</si>
  <si>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</si>
  <si>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</si>
  <si>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</si>
  <si>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</si>
  <si>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</si>
  <si>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</si>
  <si>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</si>
  <si>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</si>
  <si>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</si>
  <si>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</si>
  <si>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</si>
  <si>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</si>
  <si>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</si>
  <si>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</si>
  <si>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</si>
  <si>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</si>
  <si>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</si>
  <si>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</si>
  <si>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</si>
  <si>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</si>
  <si>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</si>
  <si>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</si>
  <si>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</si>
  <si>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</si>
  <si>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</si>
  <si>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</si>
  <si>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</si>
  <si>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</si>
  <si>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</si>
  <si>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</si>
  <si>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</si>
  <si>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</si>
  <si>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</si>
  <si>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</si>
  <si>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</si>
  <si>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</si>
  <si>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</si>
  <si>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</si>
  <si>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</si>
  <si>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</si>
  <si>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</si>
  <si>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</si>
  <si>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</si>
  <si>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</si>
  <si>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</si>
  <si>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</si>
  <si>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</si>
  <si>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</si>
  <si>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</si>
  <si>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</si>
  <si>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</si>
  <si>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</si>
  <si>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</si>
  <si>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</si>
  <si>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</si>
  <si>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</si>
  <si>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</si>
  <si>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</si>
  <si>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</si>
  <si>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</si>
  <si>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</si>
  <si>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</si>
  <si>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</si>
  <si>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</si>
  <si>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</si>
  <si>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</si>
  <si>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</si>
  <si>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</si>
  <si>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</si>
  <si>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</si>
  <si>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</si>
  <si>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</si>
  <si>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</si>
  <si>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</si>
  <si>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</si>
  <si>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</si>
  <si>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</si>
  <si>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</si>
  <si>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</si>
  <si>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</si>
  <si>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</si>
  <si>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</si>
  <si>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</si>
  <si>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</si>
  <si>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</si>
  <si>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</si>
  <si>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</si>
  <si>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</si>
  <si>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</si>
  <si>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</si>
  <si>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</si>
  <si>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</si>
  <si>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</si>
  <si>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</si>
  <si>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</si>
  <si>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</si>
  <si>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</si>
  <si>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</si>
  <si>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</si>
  <si>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</si>
  <si>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</si>
  <si>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</si>
  <si>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</si>
  <si>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</si>
  <si>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</si>
  <si>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</si>
  <si>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</si>
  <si>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</si>
  <si>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</si>
  <si>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</si>
  <si>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</si>
  <si>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</si>
  <si>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</si>
  <si>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</si>
  <si>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</si>
  <si>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</si>
  <si>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</si>
  <si>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</si>
  <si>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</si>
  <si>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</si>
  <si>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</si>
  <si>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</si>
  <si>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</si>
  <si>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</si>
  <si>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</si>
  <si>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</si>
  <si>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</si>
  <si>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</si>
  <si>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</si>
  <si>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</si>
  <si>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</si>
  <si>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</si>
  <si>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</si>
  <si>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</si>
  <si>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</si>
  <si>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</si>
  <si>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</si>
  <si>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</si>
  <si>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</si>
  <si>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</si>
  <si>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</si>
  <si>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</si>
  <si>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</si>
  <si>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</si>
  <si>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</si>
  <si>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</si>
  <si>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</si>
  <si>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</si>
  <si>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</si>
  <si>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</si>
  <si>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</si>
  <si>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</si>
  <si>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</si>
  <si>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</si>
  <si>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</si>
  <si>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</si>
  <si>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</si>
  <si>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</si>
  <si>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</si>
  <si>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</si>
  <si>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</si>
  <si>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</si>
  <si>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</si>
  <si>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</si>
  <si>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</si>
  <si>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</si>
  <si>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</si>
  <si>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</si>
  <si>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</si>
  <si>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</si>
  <si>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</si>
  <si>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</si>
  <si>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</si>
  <si>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</si>
  <si>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</si>
  <si>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</si>
  <si>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</si>
  <si>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</si>
  <si>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</si>
  <si>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</si>
  <si>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</si>
  <si>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</si>
  <si>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</si>
  <si>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</si>
  <si>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</si>
  <si>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</si>
  <si>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</si>
  <si>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</si>
  <si>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</si>
  <si>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</si>
  <si>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</si>
  <si>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</si>
  <si>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</si>
  <si>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</si>
  <si>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</si>
  <si>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</si>
  <si>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</si>
  <si>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</si>
  <si>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</si>
  <si>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</si>
  <si>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</si>
  <si>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</si>
  <si>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</si>
  <si>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</si>
  <si>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</si>
  <si>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</si>
  <si>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</si>
  <si>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</si>
  <si>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</si>
  <si>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</si>
  <si>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</si>
  <si>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</si>
  <si>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</si>
  <si>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</si>
  <si>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</si>
  <si>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</si>
  <si>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</si>
  <si>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</si>
  <si>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</si>
  <si>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</si>
  <si>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</si>
  <si>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</si>
  <si>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</si>
  <si>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</si>
  <si>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</si>
  <si>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</si>
  <si>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</si>
  <si>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</si>
  <si>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</si>
  <si>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</si>
  <si>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</si>
  <si>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</si>
  <si>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</si>
  <si>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</si>
  <si>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</si>
  <si>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</si>
  <si>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</si>
  <si>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</si>
  <si>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</si>
  <si>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</si>
  <si>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</si>
  <si>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</si>
  <si>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</si>
  <si>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</si>
  <si>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</si>
  <si>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</si>
  <si>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</si>
  <si>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</si>
  <si>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</si>
  <si>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</si>
  <si>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</si>
  <si>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</si>
  <si>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</si>
  <si>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</si>
  <si>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</si>
  <si>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</si>
  <si>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</si>
  <si>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</si>
  <si>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</si>
  <si>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</si>
  <si>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</si>
  <si>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</si>
  <si>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</si>
  <si>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</si>
  <si>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</si>
  <si>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</si>
  <si>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</si>
  <si>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</si>
  <si>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</si>
  <si>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</si>
  <si>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</si>
  <si>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</si>
  <si>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</si>
  <si>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</si>
  <si>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</si>
  <si>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</si>
  <si>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</si>
  <si>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</si>
  <si>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</si>
  <si>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</si>
  <si>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</si>
  <si>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</si>
  <si>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</si>
  <si>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</si>
  <si>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</si>
  <si>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</si>
  <si>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</si>
  <si>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</si>
  <si>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</si>
  <si>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</si>
  <si>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</si>
  <si>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</si>
  <si>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</si>
  <si>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</si>
  <si>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</si>
  <si>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</si>
  <si>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</si>
  <si>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</si>
  <si>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</si>
  <si>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</si>
  <si>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</si>
  <si>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</si>
  <si>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</si>
  <si>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</si>
  <si>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</si>
  <si>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</si>
  <si>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</si>
  <si>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</si>
  <si>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</si>
  <si>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</si>
  <si>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</si>
  <si>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</si>
  <si>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</si>
  <si>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</si>
  <si>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</si>
  <si>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</si>
  <si>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</si>
  <si>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</si>
  <si>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</si>
  <si>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</si>
  <si>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</si>
  <si>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</si>
  <si>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</si>
  <si>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</si>
  <si>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</si>
  <si>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</si>
  <si>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</si>
  <si>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</si>
  <si>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</si>
  <si>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</si>
  <si>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</si>
  <si>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</si>
  <si>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</si>
  <si>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</si>
  <si>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</si>
  <si>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</si>
  <si>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</si>
  <si>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</si>
  <si>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</si>
  <si>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</si>
  <si>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</si>
  <si>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</si>
  <si>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</si>
  <si>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</si>
  <si>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</si>
  <si>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</si>
  <si>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</si>
  <si>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</si>
  <si>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</si>
  <si>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</si>
  <si>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</si>
  <si>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</si>
  <si>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</si>
  <si>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</si>
  <si>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</si>
  <si>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</si>
  <si>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</si>
  <si>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</si>
  <si>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</si>
  <si>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</si>
  <si>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</si>
  <si>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</si>
  <si>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</si>
  <si>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</si>
  <si>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</si>
  <si>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</si>
  <si>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</si>
  <si>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</si>
  <si>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</si>
  <si>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</si>
  <si>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</si>
  <si>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</si>
  <si>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</si>
  <si>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</si>
  <si>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</si>
  <si>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</si>
  <si>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</si>
  <si>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</si>
  <si>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</si>
  <si>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</si>
  <si>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</si>
  <si>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</si>
  <si>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</si>
  <si>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</si>
  <si>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</si>
  <si>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</si>
  <si>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</si>
  <si>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</si>
  <si>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</si>
  <si>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</si>
  <si>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</si>
  <si>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</si>
  <si>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</si>
  <si>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</si>
  <si>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</si>
  <si>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</si>
  <si>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</si>
  <si>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</si>
  <si>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</si>
  <si>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</si>
  <si>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</si>
  <si>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</si>
  <si>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</si>
  <si>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</si>
  <si>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</si>
  <si>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</si>
  <si>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</si>
  <si>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</si>
  <si>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</si>
  <si>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</si>
  <si>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</si>
  <si>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</si>
  <si>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</si>
  <si>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</si>
  <si>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</si>
  <si>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</si>
  <si>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</si>
  <si>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</si>
  <si>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</si>
  <si>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</si>
  <si>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</si>
  <si>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</si>
  <si>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</si>
  <si>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</si>
  <si>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</si>
  <si>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</si>
  <si>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</si>
  <si>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</si>
  <si>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</si>
  <si>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</si>
  <si>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</si>
  <si>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</si>
  <si>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</si>
  <si>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</si>
  <si>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</si>
  <si>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</si>
  <si>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</si>
  <si>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</si>
  <si>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</si>
  <si>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</si>
  <si>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</si>
  <si>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</si>
  <si>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</si>
  <si>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</si>
  <si>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</si>
  <si>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</si>
  <si>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</si>
  <si>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</si>
  <si>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</si>
  <si>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</si>
  <si>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</si>
  <si>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</si>
  <si>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</si>
  <si>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</si>
  <si>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</si>
  <si>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</si>
  <si>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</si>
  <si>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</si>
  <si>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</si>
  <si>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</si>
  <si>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</si>
  <si>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</si>
  <si>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</si>
  <si>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</si>
  <si>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</si>
  <si>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</si>
  <si>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</si>
  <si>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</si>
  <si>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</si>
  <si>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</si>
  <si>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</si>
  <si>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</si>
  <si>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</si>
  <si>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</si>
  <si>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</si>
  <si>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</si>
  <si>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</si>
  <si>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</si>
  <si>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</si>
  <si>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</si>
  <si>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</si>
  <si>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</si>
  <si>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</si>
  <si>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</si>
  <si>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</si>
  <si>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</si>
  <si>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</si>
  <si>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</si>
  <si>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</si>
  <si>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</si>
  <si>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</si>
  <si>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</si>
  <si>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</si>
  <si>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</si>
  <si>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</si>
  <si>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</si>
  <si>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</si>
  <si>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</si>
  <si>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</si>
  <si>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</si>
  <si>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</si>
  <si>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</si>
  <si>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</si>
  <si>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</si>
  <si>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</si>
  <si>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</si>
  <si>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</si>
  <si>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</si>
  <si>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</si>
  <si>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</si>
  <si>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</si>
  <si>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</si>
  <si>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</si>
  <si>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</si>
  <si>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</si>
  <si>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</si>
  <si>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</si>
  <si>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</si>
  <si>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</si>
  <si>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</si>
  <si>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</si>
  <si>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</si>
  <si>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</si>
  <si>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</si>
  <si>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</si>
  <si>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</si>
  <si>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</si>
  <si>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</si>
  <si>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</si>
  <si>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</si>
  <si>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</si>
  <si>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</si>
  <si>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</si>
  <si>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</si>
  <si>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</si>
  <si>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</si>
  <si>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</si>
  <si>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</si>
  <si>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</si>
  <si>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</si>
  <si>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</si>
  <si>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</si>
  <si>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</si>
  <si>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</si>
  <si>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</si>
  <si>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</si>
  <si>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</si>
  <si>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</si>
  <si>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</si>
  <si>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</si>
  <si>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</si>
  <si>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</si>
  <si>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</si>
  <si>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</si>
  <si>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</si>
  <si>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</si>
  <si>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</si>
  <si>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</si>
  <si>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</si>
  <si>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</si>
  <si>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</si>
  <si>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</si>
  <si>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</si>
  <si>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</si>
  <si>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</si>
  <si>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</si>
  <si>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</si>
  <si>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</si>
  <si>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</si>
  <si>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</si>
  <si>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</si>
  <si>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</si>
  <si>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</si>
  <si>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</si>
  <si>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</si>
  <si>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</si>
  <si>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</si>
  <si>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</si>
  <si>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</si>
  <si>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</si>
  <si>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</si>
  <si>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</si>
  <si>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</si>
  <si>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</si>
  <si>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</si>
  <si>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</si>
  <si>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</si>
  <si>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</si>
  <si>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</si>
  <si>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</si>
  <si>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</si>
  <si>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</si>
  <si>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</si>
  <si>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</si>
  <si>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</si>
  <si>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</si>
  <si>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</si>
  <si>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</si>
  <si>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</si>
  <si>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</si>
  <si>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</si>
  <si>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</si>
  <si>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</si>
  <si>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</si>
  <si>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</si>
  <si>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</si>
  <si>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</si>
  <si>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</si>
  <si>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</si>
  <si>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</si>
  <si>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</si>
  <si>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</si>
  <si>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</si>
  <si>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</si>
  <si>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</si>
  <si>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</si>
  <si>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</si>
  <si>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</si>
  <si>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</si>
  <si>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</si>
  <si>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</si>
  <si>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</si>
  <si>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</si>
  <si>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</si>
  <si>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</si>
  <si>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</si>
  <si>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</si>
  <si>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</si>
  <si>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</si>
  <si>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</si>
  <si>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</si>
  <si>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</si>
  <si>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</si>
  <si>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</si>
  <si>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</si>
  <si>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</si>
  <si>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</si>
  <si>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</si>
  <si>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</si>
  <si>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</si>
  <si>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</si>
  <si>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</si>
  <si>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</si>
  <si>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</si>
  <si>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</si>
  <si>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</si>
  <si>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</si>
  <si>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</si>
  <si>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</si>
  <si>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</si>
  <si>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</si>
  <si>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</si>
  <si>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</si>
  <si>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</si>
  <si>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</si>
  <si>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</si>
  <si>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</si>
  <si>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</si>
  <si>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</si>
  <si>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</si>
  <si>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</si>
  <si>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</si>
  <si>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</si>
  <si>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</si>
  <si>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</si>
  <si>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</si>
  <si>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</si>
  <si>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</si>
  <si>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</si>
  <si>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</si>
  <si>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</si>
  <si>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</si>
  <si>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</si>
  <si>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</si>
  <si>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</si>
  <si>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</si>
  <si>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</si>
  <si>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</si>
  <si>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</si>
  <si>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</si>
  <si>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</si>
  <si>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</si>
  <si>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</si>
  <si>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</si>
  <si>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</si>
  <si>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</si>
  <si>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</si>
  <si>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</si>
  <si>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</si>
  <si>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</si>
  <si>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</si>
  <si>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</si>
  <si>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</si>
  <si>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</si>
  <si>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</si>
  <si>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</si>
  <si>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</si>
  <si>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</si>
  <si>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</si>
  <si>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</si>
  <si>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</si>
  <si>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</si>
  <si>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</si>
  <si>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</si>
  <si>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</si>
  <si>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</si>
  <si>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</si>
  <si>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</si>
  <si>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</si>
  <si>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</si>
  <si>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</si>
  <si>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</si>
  <si>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</si>
  <si>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</si>
  <si>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</si>
  <si>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</si>
  <si>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</si>
  <si>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</si>
  <si>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</si>
  <si>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</si>
  <si>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</si>
  <si>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</si>
  <si>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</si>
  <si>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</si>
  <si>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</si>
  <si>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</si>
  <si>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</si>
  <si>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</si>
  <si>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</si>
  <si>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</si>
  <si>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</si>
  <si>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</si>
  <si>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</si>
  <si>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</si>
  <si>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</si>
  <si>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</si>
  <si>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</si>
  <si>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</si>
  <si>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</si>
  <si>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</si>
  <si>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</si>
  <si>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</si>
  <si>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</si>
  <si>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</si>
  <si>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</si>
  <si>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</si>
  <si>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</si>
  <si>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</si>
  <si>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</si>
  <si>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</si>
  <si>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</si>
  <si>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</si>
  <si>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</si>
  <si>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</si>
  <si>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</si>
  <si>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</si>
  <si>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</si>
  <si>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</si>
  <si>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</si>
  <si>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</si>
  <si>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</si>
  <si>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</si>
  <si>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</si>
  <si>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</si>
  <si>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</si>
  <si>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</si>
  <si>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</si>
  <si>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</si>
  <si>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</si>
  <si>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</si>
  <si>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</si>
  <si>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</si>
  <si>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</si>
  <si>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</si>
  <si>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</si>
  <si>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</si>
  <si>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</si>
  <si>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</si>
  <si>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</si>
  <si>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</si>
  <si>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</si>
  <si>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</si>
  <si>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</si>
  <si>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</si>
  <si>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</si>
  <si>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</si>
  <si>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</si>
  <si>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</si>
  <si>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</si>
  <si>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</si>
  <si>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</si>
  <si>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</si>
  <si>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</si>
  <si>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</si>
  <si>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</si>
  <si>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</si>
  <si>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</si>
  <si>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</si>
  <si>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</si>
  <si>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</si>
  <si>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</si>
  <si>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</si>
  <si>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</si>
  <si>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</si>
  <si>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</si>
  <si>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</si>
  <si>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</si>
  <si>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</si>
  <si>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</si>
  <si>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</si>
  <si>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</si>
  <si>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</si>
  <si>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</si>
  <si>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</si>
  <si>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</si>
  <si>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</si>
  <si>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</si>
  <si>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</si>
  <si>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</si>
  <si>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</si>
  <si>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</si>
  <si>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</si>
  <si>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</si>
  <si>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</si>
  <si>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</si>
  <si>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</si>
  <si>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</si>
  <si>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</si>
  <si>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</si>
  <si>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</si>
  <si>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</si>
  <si>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</si>
  <si>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</si>
  <si>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</si>
  <si>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</si>
  <si>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</si>
  <si>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</si>
  <si>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</si>
  <si>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</si>
  <si>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</si>
  <si>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</si>
  <si>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</si>
  <si>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</si>
  <si>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</si>
  <si>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</si>
  <si>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</si>
  <si>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</si>
  <si>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</si>
  <si>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</si>
  <si>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</si>
  <si>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</si>
  <si>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</si>
  <si>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</si>
  <si>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</si>
  <si>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</si>
  <si>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</si>
  <si>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</si>
  <si>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</si>
  <si>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</si>
  <si>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</si>
  <si>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</si>
  <si>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</si>
  <si>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</si>
  <si>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</si>
  <si>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</si>
  <si>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</si>
  <si>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</si>
  <si>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</si>
  <si>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</si>
  <si>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</si>
  <si>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</si>
  <si>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</si>
  <si>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</si>
  <si>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</si>
  <si>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</si>
  <si>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</si>
  <si>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</si>
  <si>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</si>
  <si>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</si>
  <si>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</si>
  <si>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</si>
  <si>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</si>
  <si>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</si>
  <si>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</si>
  <si>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</si>
  <si>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</si>
  <si>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</si>
  <si>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</si>
  <si>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</si>
  <si>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</si>
  <si>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</si>
  <si>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</si>
  <si>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</si>
  <si>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</si>
  <si>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</si>
  <si>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</si>
  <si>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</si>
  <si>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</si>
  <si>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</si>
  <si>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</si>
  <si>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</si>
  <si>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</si>
  <si>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</si>
  <si>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</si>
  <si>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</si>
  <si>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</si>
  <si>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</si>
  <si>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</si>
  <si>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</si>
  <si>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</si>
  <si>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</si>
  <si>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</si>
  <si>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</si>
  <si>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</si>
  <si>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</si>
  <si>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</si>
  <si>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</si>
  <si>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</si>
  <si>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</si>
  <si>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</si>
  <si>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</si>
  <si>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</si>
  <si>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</si>
  <si>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</si>
  <si>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</si>
  <si>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</si>
  <si>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</si>
  <si>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</si>
  <si>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</si>
  <si>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</si>
  <si>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</si>
  <si>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</si>
  <si>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</si>
  <si>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</si>
  <si>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</si>
  <si>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</si>
  <si>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</si>
  <si>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</si>
  <si>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</si>
  <si>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</si>
  <si>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</si>
  <si>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</si>
  <si>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</si>
  <si>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</si>
  <si>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</si>
  <si>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</si>
  <si>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</si>
  <si>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</si>
  <si>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</si>
  <si>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</si>
  <si>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</si>
  <si>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</si>
  <si>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</si>
  <si>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</si>
  <si>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</si>
  <si>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</si>
  <si>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</si>
  <si>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</si>
  <si>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</si>
  <si>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</si>
  <si>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</si>
  <si>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</si>
  <si>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</si>
  <si>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</si>
  <si>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</si>
  <si>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</si>
  <si>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</si>
  <si>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</si>
  <si>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</si>
  <si>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</si>
  <si>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</si>
  <si>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</si>
  <si>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</si>
  <si>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</si>
  <si>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</si>
  <si>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</si>
  <si>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</si>
  <si>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</si>
  <si>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</si>
  <si>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</si>
  <si>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</si>
  <si>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</si>
  <si>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</si>
  <si>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</si>
  <si>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</si>
  <si>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</si>
  <si>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</si>
  <si>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</si>
  <si>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</si>
  <si>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</si>
  <si>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</si>
  <si>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</si>
  <si>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</si>
  <si>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</si>
  <si>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</si>
  <si>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</si>
  <si>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</si>
  <si>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</si>
  <si>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</si>
  <si>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</si>
  <si>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</si>
  <si>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</si>
  <si>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</si>
  <si>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</si>
  <si>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</si>
  <si>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</si>
  <si>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</si>
  <si>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</si>
  <si>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</si>
  <si>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</si>
  <si>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</si>
  <si>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</si>
  <si>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</si>
  <si>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</si>
  <si>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</si>
  <si>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</si>
  <si>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</si>
  <si>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</si>
  <si>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</si>
  <si>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</si>
  <si>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</si>
  <si>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</si>
  <si>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</si>
  <si>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</si>
  <si>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</si>
  <si>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</si>
  <si>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</si>
  <si>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</si>
  <si>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</si>
  <si>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</si>
  <si>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</si>
  <si>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</si>
  <si>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</si>
  <si>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</si>
  <si>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</si>
  <si>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</si>
  <si>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</si>
  <si>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</si>
  <si>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</si>
  <si>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</si>
  <si>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</si>
  <si>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</si>
  <si>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</si>
  <si>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</si>
  <si>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</si>
  <si>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</si>
  <si>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</si>
  <si>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</si>
  <si>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</si>
  <si>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</si>
  <si>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</si>
  <si>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</si>
  <si>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</si>
  <si>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</si>
  <si>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</si>
  <si>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</si>
  <si>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</si>
  <si>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</si>
  <si>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</si>
  <si>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</si>
  <si>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</si>
  <si>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</si>
  <si>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</si>
  <si>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</si>
  <si>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</si>
  <si>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</si>
  <si>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</si>
  <si>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</si>
  <si>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</si>
  <si>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</si>
  <si>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</si>
  <si>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</si>
  <si>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</si>
  <si>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</si>
  <si>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</si>
  <si>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</si>
  <si>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</si>
  <si>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</si>
  <si>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</si>
  <si>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</si>
  <si>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</si>
  <si>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</si>
  <si>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</si>
  <si>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</si>
  <si>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</si>
  <si>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</si>
  <si>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</si>
  <si>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</si>
  <si>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</si>
  <si>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</si>
  <si>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</si>
  <si>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</si>
  <si>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</si>
  <si>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</si>
  <si>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</si>
  <si>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</si>
  <si>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</si>
  <si>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</si>
  <si>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</si>
  <si>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</si>
  <si>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</si>
  <si>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</si>
  <si>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</si>
  <si>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</si>
  <si>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</si>
  <si>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</si>
  <si>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</si>
  <si>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</si>
  <si>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</si>
  <si>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</si>
  <si>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</si>
  <si>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</si>
  <si>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</si>
  <si>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</si>
  <si>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</si>
  <si>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</si>
  <si>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</si>
  <si>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</si>
  <si>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</si>
  <si>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</si>
  <si>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</si>
  <si>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</si>
  <si>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</si>
  <si>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</si>
  <si>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</si>
  <si>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</si>
  <si>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</si>
  <si>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</si>
  <si>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</si>
  <si>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</si>
  <si>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</si>
  <si>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</si>
  <si>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</si>
  <si>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</si>
  <si>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</si>
  <si>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</si>
  <si>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</si>
  <si>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</si>
  <si>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</si>
  <si>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</si>
  <si>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</si>
  <si>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</si>
  <si>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</si>
  <si>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</si>
  <si>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</si>
  <si>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</si>
  <si>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</si>
  <si>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</si>
  <si>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</si>
  <si>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</si>
  <si>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</si>
  <si>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</si>
  <si>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</si>
  <si>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</si>
  <si>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</si>
  <si>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</si>
  <si>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</si>
  <si>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</si>
  <si>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</si>
  <si>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</si>
  <si>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</si>
  <si>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</si>
  <si>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</si>
  <si>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</si>
  <si>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</si>
  <si>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</si>
  <si>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</si>
  <si>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</si>
  <si>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</si>
  <si>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</si>
  <si>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</si>
  <si>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</si>
  <si>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</si>
  <si>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</si>
  <si>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</si>
  <si>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</si>
  <si>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</si>
  <si>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</si>
  <si>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</si>
  <si>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</si>
  <si>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</si>
  <si>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</si>
  <si>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</si>
  <si>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</si>
  <si>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</si>
  <si>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</si>
  <si>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</si>
  <si>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</si>
  <si>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</si>
  <si>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</si>
  <si>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</si>
  <si>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</si>
  <si>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</si>
  <si>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</si>
  <si>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</si>
  <si>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</si>
  <si>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</si>
  <si>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</si>
  <si>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</si>
  <si>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</si>
  <si>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</si>
  <si>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</si>
  <si>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</si>
  <si>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</si>
  <si>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</si>
  <si>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</si>
  <si>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</si>
  <si>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</si>
  <si>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</si>
  <si>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</si>
  <si>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</si>
  <si>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</si>
  <si>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</si>
  <si>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</si>
  <si>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</si>
  <si>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</si>
  <si>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</si>
  <si>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</si>
  <si>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</si>
  <si>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</si>
  <si>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</si>
  <si>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</si>
  <si>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</si>
  <si>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</si>
  <si>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</si>
  <si>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</si>
  <si>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</si>
  <si>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</si>
  <si>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</si>
  <si>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</si>
  <si>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</si>
  <si>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</si>
  <si>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</si>
  <si>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</si>
  <si>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</si>
  <si>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</si>
  <si>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</si>
  <si>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</si>
  <si>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</si>
  <si>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</si>
  <si>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</si>
  <si>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</si>
  <si>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</si>
  <si>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</si>
  <si>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</si>
  <si>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</si>
  <si>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</si>
  <si>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</si>
  <si>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</si>
  <si>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</si>
  <si>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</si>
  <si>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</si>
  <si>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</si>
  <si>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</si>
  <si>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</si>
  <si>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</si>
  <si>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</si>
  <si>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</si>
  <si>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</si>
  <si>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</si>
  <si>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</si>
  <si>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</si>
  <si>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</si>
  <si>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</si>
  <si>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</si>
  <si>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</si>
  <si>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</si>
  <si>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</si>
  <si>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</si>
  <si>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</si>
  <si>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</si>
  <si>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</si>
  <si>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</si>
  <si>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</si>
  <si>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</si>
  <si>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</si>
  <si>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</si>
  <si>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</si>
  <si>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</si>
  <si>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</si>
  <si>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</si>
  <si>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</si>
  <si>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</si>
  <si>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</si>
  <si>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</si>
  <si>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</si>
  <si>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</si>
  <si>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</si>
  <si>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</si>
  <si>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</si>
  <si>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</si>
  <si>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</si>
  <si>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</si>
  <si>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</si>
  <si>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</si>
  <si>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</si>
  <si>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</si>
  <si>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</si>
  <si>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</si>
  <si>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</si>
  <si>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</si>
  <si>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</si>
  <si>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</si>
  <si>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</si>
  <si>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</si>
  <si>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</si>
  <si>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</si>
  <si>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</si>
  <si>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</si>
  <si>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</si>
  <si>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</si>
  <si>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</si>
  <si>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</si>
  <si>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</si>
  <si>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</si>
  <si>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</si>
  <si>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</si>
  <si>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</si>
  <si>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</si>
  <si>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</si>
  <si>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</si>
  <si>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</si>
  <si>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</si>
  <si>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</si>
  <si>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</si>
  <si>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</si>
  <si>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</si>
  <si>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</si>
  <si>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</si>
  <si>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</si>
  <si>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</si>
  <si>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</si>
  <si>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</si>
  <si>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</si>
  <si>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</si>
  <si>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</si>
  <si>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</si>
  <si>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</si>
  <si>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</si>
  <si>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</si>
  <si>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</si>
  <si>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</si>
  <si>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</si>
  <si>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</si>
  <si>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</si>
  <si>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</si>
  <si>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</si>
  <si>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</si>
  <si>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</si>
  <si>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</si>
  <si>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</si>
  <si>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</si>
  <si>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</si>
  <si>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</si>
  <si>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</si>
  <si>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</si>
  <si>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</si>
  <si>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</si>
  <si>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</si>
  <si>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</si>
  <si>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</si>
  <si>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</si>
  <si>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</si>
  <si>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</si>
  <si>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</si>
  <si>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</si>
  <si>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</si>
  <si>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</si>
  <si>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</si>
  <si>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</si>
  <si>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</si>
  <si>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</si>
  <si>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</si>
  <si>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</si>
  <si>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</si>
  <si>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</si>
  <si>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</si>
  <si>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</si>
  <si>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</si>
  <si>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</si>
  <si>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</si>
  <si>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</si>
  <si>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</si>
  <si>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</si>
  <si>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</si>
  <si>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</si>
  <si>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</si>
  <si>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</si>
  <si>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</si>
  <si>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</si>
  <si>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</si>
  <si>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</si>
  <si>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</si>
  <si>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</si>
  <si>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</si>
  <si>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</si>
  <si>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</si>
  <si>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</si>
  <si>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</si>
  <si>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</si>
  <si>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</si>
  <si>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</si>
  <si>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</si>
  <si>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</si>
  <si>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</si>
  <si>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</si>
  <si>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</si>
  <si>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</si>
  <si>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</si>
  <si>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</si>
  <si>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</si>
  <si>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</si>
  <si>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</si>
  <si>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</si>
  <si>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</si>
  <si>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</si>
  <si>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</si>
  <si>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</si>
  <si>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</si>
  <si>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</si>
  <si>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</si>
  <si>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</si>
  <si>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</si>
  <si>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</si>
  <si>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</si>
  <si>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</si>
  <si>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</si>
  <si>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</si>
  <si>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</si>
  <si>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</si>
  <si>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</si>
  <si>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</si>
  <si>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</si>
  <si>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</si>
  <si>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</si>
  <si>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</si>
  <si>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</si>
  <si>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</si>
  <si>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</si>
  <si>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</si>
  <si>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</si>
  <si>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</si>
  <si>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</si>
  <si>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</si>
  <si>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</si>
  <si>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</si>
  <si>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</si>
  <si>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</si>
  <si>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</si>
  <si>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</si>
  <si>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</si>
  <si>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</si>
  <si>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</si>
  <si>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</si>
  <si>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</si>
  <si>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</si>
  <si>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</si>
  <si>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</si>
  <si>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</si>
  <si>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</si>
  <si>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</si>
  <si>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</si>
  <si>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</si>
  <si>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</si>
  <si>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</si>
  <si>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</si>
  <si>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</si>
  <si>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</si>
  <si>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</si>
  <si>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</si>
  <si>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</si>
  <si>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</si>
  <si>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</si>
  <si>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</si>
  <si>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</si>
  <si>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</si>
  <si>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</si>
  <si>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</si>
  <si>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</si>
  <si>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</si>
  <si>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</si>
  <si>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</si>
  <si>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</si>
  <si>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</si>
  <si>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</si>
  <si>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</si>
  <si>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</si>
  <si>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</si>
  <si>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</si>
  <si>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</si>
  <si>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</si>
  <si>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</si>
  <si>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</si>
  <si>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</si>
  <si>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</si>
  <si>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</si>
  <si>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</si>
  <si>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</si>
  <si>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</si>
  <si>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</si>
  <si>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</si>
  <si>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</si>
  <si>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</si>
  <si>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</si>
  <si>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</si>
  <si>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</si>
  <si>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</si>
  <si>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</si>
  <si>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</si>
  <si>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</si>
  <si>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</si>
  <si>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</si>
  <si>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</si>
  <si>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</si>
  <si>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</si>
  <si>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</si>
  <si>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</si>
  <si>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</si>
  <si>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</si>
  <si>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</si>
  <si>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</si>
  <si>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</si>
  <si>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</si>
  <si>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</si>
  <si>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</si>
  <si>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</si>
  <si>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</si>
  <si>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</si>
  <si>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</si>
  <si>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</si>
  <si>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</si>
  <si>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</si>
  <si>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</si>
  <si>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</si>
  <si>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</si>
  <si>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</si>
  <si>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</si>
  <si>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</si>
  <si>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</si>
  <si>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</si>
  <si>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</si>
  <si>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</si>
  <si>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</si>
  <si>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</si>
  <si>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</si>
  <si>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</si>
  <si>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</si>
  <si>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</si>
  <si>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</si>
  <si>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</si>
  <si>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</si>
  <si>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</si>
  <si>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</si>
  <si>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</si>
  <si>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</si>
  <si>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</si>
  <si>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</si>
  <si>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</si>
  <si>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</si>
  <si>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</si>
  <si>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</si>
  <si>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</si>
  <si>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</si>
  <si>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</si>
  <si>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</si>
  <si>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</si>
  <si>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</si>
  <si>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</si>
  <si>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</si>
  <si>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</si>
  <si>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</si>
  <si>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</si>
  <si>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</si>
  <si>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</si>
  <si>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</si>
  <si>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</si>
  <si>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</si>
  <si>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</si>
  <si>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</si>
  <si>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</si>
  <si>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</si>
  <si>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</si>
  <si>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</si>
  <si>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</si>
  <si>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</si>
  <si>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</si>
  <si>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</si>
  <si>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</si>
  <si>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</si>
  <si>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</si>
  <si>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</si>
  <si>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</si>
  <si>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</si>
  <si>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</si>
  <si>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</si>
  <si>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</si>
  <si>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</si>
  <si>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</si>
  <si>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</si>
  <si>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</si>
  <si>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</si>
  <si>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</si>
  <si>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</si>
  <si>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</si>
  <si>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</si>
  <si>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</si>
  <si>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</si>
  <si>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</si>
  <si>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</si>
  <si>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</si>
  <si>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</si>
  <si>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</si>
  <si>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</si>
  <si>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</si>
  <si>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</si>
  <si>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</si>
  <si>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</si>
  <si>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</si>
  <si>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</si>
  <si>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</si>
  <si>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</si>
  <si>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</si>
  <si>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</si>
  <si>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</si>
  <si>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</si>
  <si>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</si>
  <si>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</si>
  <si>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</si>
  <si>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</si>
  <si>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</si>
  <si>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</si>
  <si>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</si>
  <si>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</si>
  <si>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</si>
  <si>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</si>
  <si>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</si>
  <si>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</si>
  <si>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</si>
  <si>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</si>
  <si>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</si>
  <si>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</si>
  <si>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</si>
  <si>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</si>
  <si>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</si>
  <si>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</si>
  <si>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</si>
  <si>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</si>
  <si>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</si>
  <si>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</si>
  <si>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</si>
  <si>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</si>
  <si>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</si>
  <si>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</si>
  <si>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</si>
  <si>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</si>
  <si>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</si>
  <si>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</si>
  <si>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</si>
  <si>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</si>
  <si>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</si>
  <si>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</si>
  <si>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</si>
  <si>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</si>
  <si>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</si>
  <si>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</si>
  <si>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</si>
  <si>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</si>
  <si>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</si>
  <si>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</si>
  <si>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</si>
  <si>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</si>
  <si>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</si>
  <si>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</si>
  <si>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</si>
  <si>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</si>
  <si>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</si>
  <si>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</si>
  <si>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</si>
  <si>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</si>
  <si>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</si>
  <si>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</si>
  <si>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</si>
  <si>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</si>
  <si>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</si>
  <si>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</si>
  <si>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</si>
  <si>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</si>
  <si>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</si>
  <si>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</si>
  <si>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</si>
  <si>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</si>
  <si>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</si>
  <si>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</si>
  <si>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</si>
  <si>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</si>
  <si>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</si>
  <si>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</si>
  <si>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</si>
  <si>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</si>
  <si>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</si>
  <si>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</si>
  <si>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</si>
  <si>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</si>
  <si>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</si>
  <si>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</si>
  <si>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</si>
  <si>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</si>
  <si>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</si>
  <si>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</si>
  <si>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</si>
  <si>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</si>
  <si>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</si>
  <si>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</si>
  <si>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</si>
  <si>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</si>
  <si>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</si>
  <si>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</si>
  <si>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</si>
  <si>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</si>
  <si>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</si>
  <si>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</si>
  <si>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</si>
  <si>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</si>
  <si>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</si>
  <si>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</si>
  <si>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</si>
  <si>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</si>
  <si>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</si>
  <si>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</si>
  <si>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</si>
  <si>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</si>
  <si>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</si>
  <si>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</si>
  <si>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</si>
  <si>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</si>
  <si>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</si>
  <si>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</si>
  <si>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</si>
  <si>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</si>
  <si>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</si>
  <si>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</si>
  <si>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</si>
  <si>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</si>
  <si>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</si>
  <si>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</si>
  <si>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</si>
  <si>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</si>
  <si>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</si>
  <si>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</si>
  <si>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</si>
  <si>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</si>
  <si>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</si>
  <si>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</si>
  <si>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</si>
  <si>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</si>
  <si>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</si>
  <si>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</si>
  <si>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</si>
  <si>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</si>
  <si>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</si>
  <si>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</si>
  <si>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</si>
  <si>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</si>
  <si>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</si>
  <si>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</si>
  <si>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</si>
  <si>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</si>
  <si>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</si>
  <si>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</si>
  <si>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</si>
  <si>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</si>
  <si>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</si>
  <si>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</si>
  <si>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</si>
  <si>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</si>
  <si>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</si>
  <si>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</si>
  <si>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</si>
  <si>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</si>
  <si>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</si>
  <si>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</si>
  <si>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</si>
  <si>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</si>
  <si>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</si>
  <si>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</si>
  <si>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</si>
  <si>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</si>
  <si>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</si>
  <si>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</si>
  <si>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</si>
  <si>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</si>
  <si>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</si>
  <si>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</si>
  <si>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</si>
  <si>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</si>
  <si>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</si>
  <si>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</si>
  <si>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</si>
  <si>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</si>
  <si>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</si>
  <si>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</si>
  <si>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</si>
  <si>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</si>
  <si>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</si>
  <si>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</si>
  <si>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</si>
  <si>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</si>
  <si>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</si>
  <si>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</si>
  <si>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</si>
  <si>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</si>
  <si>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</si>
  <si>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</si>
  <si>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</si>
  <si>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</si>
  <si>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</si>
  <si>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</si>
  <si>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</si>
  <si>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</si>
  <si>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</si>
  <si>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</si>
  <si>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</si>
  <si>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</si>
  <si>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</si>
  <si>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</si>
  <si>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</si>
  <si>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</si>
  <si>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</si>
  <si>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</si>
  <si>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</si>
  <si>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</si>
  <si>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</si>
  <si>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</si>
  <si>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</si>
  <si>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</si>
  <si>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</si>
  <si>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</si>
  <si>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</si>
  <si>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</si>
  <si>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</si>
  <si>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</si>
  <si>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</si>
  <si>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</si>
  <si>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</si>
  <si>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</si>
  <si>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</si>
  <si>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</si>
  <si>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</si>
  <si>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</si>
  <si>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</si>
  <si>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</si>
  <si>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</si>
  <si>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</si>
  <si>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</si>
  <si>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</si>
  <si>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</si>
  <si>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</si>
  <si>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</si>
  <si>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</si>
  <si>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</si>
  <si>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</si>
  <si>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</si>
  <si>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</si>
  <si>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</si>
  <si>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</si>
  <si>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</si>
  <si>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</si>
  <si>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</si>
  <si>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</si>
  <si>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</si>
  <si>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</si>
  <si>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</si>
  <si>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</si>
  <si>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</si>
  <si>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</si>
  <si>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</si>
  <si>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</si>
  <si>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</si>
  <si>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</si>
  <si>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</si>
  <si>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</si>
  <si>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</si>
  <si>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</si>
  <si>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</si>
  <si>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</si>
  <si>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</si>
  <si>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</si>
  <si>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</si>
  <si>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</si>
  <si>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</si>
  <si>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</si>
  <si>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</si>
  <si>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</si>
  <si>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</si>
  <si>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</si>
  <si>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</si>
  <si>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</si>
  <si>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</si>
  <si>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</si>
  <si>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</si>
  <si>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</si>
  <si>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</si>
  <si>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</si>
  <si>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</si>
  <si>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</si>
  <si>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</si>
  <si>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</si>
  <si>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</si>
  <si>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</si>
  <si>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</si>
  <si>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</si>
  <si>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</si>
  <si>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</si>
  <si>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</si>
  <si>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</si>
  <si>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</si>
  <si>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</si>
  <si>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</si>
  <si>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</si>
  <si>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</si>
  <si>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</si>
  <si>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</si>
  <si>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</si>
  <si>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</si>
  <si>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</si>
  <si>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</si>
  <si>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</si>
  <si>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</si>
  <si>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</si>
  <si>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</si>
  <si>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</si>
  <si>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</si>
  <si>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</si>
  <si>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</si>
  <si>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</si>
  <si>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</si>
  <si>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</si>
  <si>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</si>
  <si>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</si>
  <si>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</si>
  <si>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</si>
  <si>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</si>
  <si>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</si>
  <si>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</si>
  <si>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</si>
  <si>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</si>
  <si>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</si>
  <si>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</si>
  <si>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</si>
  <si>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</si>
  <si>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</si>
  <si>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</si>
  <si>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</si>
  <si>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</si>
  <si>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</si>
  <si>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</si>
  <si>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</si>
  <si>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</si>
  <si>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</si>
  <si>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</si>
  <si>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</si>
  <si>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</si>
  <si>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</si>
  <si>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</si>
  <si>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</si>
  <si>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</si>
  <si>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</si>
  <si>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</si>
  <si>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</si>
  <si>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</si>
  <si>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</si>
  <si>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</si>
  <si>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</si>
  <si>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</si>
  <si>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</si>
  <si>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</si>
  <si>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</si>
  <si>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</si>
  <si>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</si>
  <si>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</si>
  <si>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</si>
  <si>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</si>
  <si>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</si>
  <si>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</si>
  <si>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</si>
  <si>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</si>
  <si>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</si>
  <si>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</si>
  <si>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</si>
  <si>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</si>
  <si>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</si>
  <si>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</si>
  <si>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</si>
  <si>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</si>
  <si>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</si>
  <si>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</si>
  <si>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</si>
  <si>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</si>
  <si>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</si>
  <si>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</si>
  <si>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</si>
  <si>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</si>
  <si>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</si>
  <si>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</si>
  <si>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</si>
  <si>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</si>
  <si>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</si>
  <si>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</si>
  <si>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</si>
  <si>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</si>
  <si>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</si>
  <si>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</si>
  <si>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</si>
  <si>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</si>
  <si>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</si>
  <si>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</si>
  <si>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</si>
  <si>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</si>
  <si>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</si>
  <si>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</si>
  <si>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</si>
  <si>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</si>
  <si>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</si>
  <si>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</si>
  <si>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</si>
  <si>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</si>
  <si>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</si>
  <si>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</si>
  <si>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</si>
  <si>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</si>
  <si>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</si>
  <si>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</si>
  <si>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</si>
  <si>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</si>
  <si>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</si>
  <si>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</si>
  <si>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</si>
  <si>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</si>
  <si>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</si>
  <si>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</si>
  <si>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</si>
  <si>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</si>
  <si>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</si>
  <si>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</si>
  <si>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</si>
  <si>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</si>
  <si>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</si>
  <si>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</si>
  <si>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</si>
  <si>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</si>
  <si>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</si>
  <si>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</si>
  <si>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</si>
  <si>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</si>
  <si>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</si>
  <si>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</si>
  <si>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</si>
  <si>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</si>
  <si>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</si>
  <si>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</si>
  <si>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</si>
  <si>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</si>
  <si>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</si>
  <si>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</si>
  <si>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</si>
  <si>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</si>
  <si>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</si>
  <si>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</si>
  <si>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</si>
  <si>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</si>
  <si>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</si>
  <si>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</si>
  <si>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</si>
  <si>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</si>
  <si>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</si>
  <si>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</si>
  <si>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</si>
  <si>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</si>
  <si>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</si>
  <si>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</si>
  <si>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</si>
  <si>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</si>
  <si>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</si>
  <si>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</si>
  <si>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</si>
  <si>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</si>
  <si>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</si>
  <si>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</si>
  <si>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</si>
  <si>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</si>
  <si>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</si>
  <si>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</si>
  <si>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</si>
  <si>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</si>
  <si>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</si>
  <si>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</si>
  <si>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</si>
  <si>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</si>
  <si>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</si>
  <si>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</si>
  <si>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</si>
  <si>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</si>
  <si>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</si>
  <si>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</si>
  <si>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</si>
  <si>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</si>
  <si>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</si>
  <si>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</si>
  <si>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</si>
  <si>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</si>
  <si>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</si>
  <si>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</si>
  <si>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</si>
  <si>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</si>
  <si>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</si>
  <si>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</si>
  <si>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</si>
  <si>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</si>
  <si>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</si>
  <si>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</si>
  <si>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</si>
  <si>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</si>
  <si>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</si>
  <si>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</si>
  <si>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</si>
  <si>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</si>
  <si>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</si>
  <si>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</si>
  <si>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</si>
  <si>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</si>
  <si>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</si>
  <si>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</si>
  <si>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</si>
  <si>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</si>
  <si>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</si>
  <si>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</si>
  <si>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</si>
  <si>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</si>
  <si>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</si>
  <si>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</si>
  <si>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</si>
  <si>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</si>
  <si>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</si>
  <si>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</si>
  <si>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</si>
  <si>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</si>
  <si>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</si>
  <si>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</si>
  <si>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</si>
  <si>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</si>
  <si>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</si>
  <si>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</si>
  <si>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</si>
  <si>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</si>
  <si>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</si>
  <si>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</si>
  <si>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</si>
  <si>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</si>
  <si>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</si>
  <si>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</si>
  <si>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</si>
  <si>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</si>
  <si>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</si>
  <si>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</si>
  <si>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</si>
  <si>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</si>
  <si>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</si>
  <si>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</si>
  <si>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</si>
  <si>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</si>
  <si>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</si>
  <si>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</si>
  <si>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</si>
  <si>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</si>
  <si>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</si>
  <si>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</si>
  <si>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</si>
  <si>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</si>
  <si>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</si>
  <si>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</si>
  <si>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</si>
  <si>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</si>
  <si>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</si>
  <si>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</si>
  <si>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</si>
  <si>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</si>
  <si>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</si>
  <si>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</si>
  <si>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</si>
  <si>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</si>
  <si>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</si>
  <si>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</si>
  <si>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</si>
  <si>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</si>
  <si>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</si>
  <si>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</si>
  <si>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</si>
  <si>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</si>
  <si>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</si>
  <si>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</si>
  <si>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</si>
  <si>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</si>
  <si>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</si>
  <si>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</si>
  <si>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</si>
  <si>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</si>
  <si>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</si>
  <si>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</si>
  <si>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</si>
  <si>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</si>
  <si>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</si>
  <si>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</si>
  <si>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</si>
  <si>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</si>
  <si>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</si>
  <si>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</si>
  <si>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</si>
  <si>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</si>
  <si>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</si>
  <si>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</si>
  <si>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</si>
  <si>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</si>
  <si>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</si>
  <si>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</si>
  <si>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</si>
  <si>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</si>
  <si>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</si>
  <si>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</si>
  <si>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</si>
  <si>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</si>
  <si>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</si>
  <si>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</si>
  <si>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</si>
  <si>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</si>
  <si>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</si>
  <si>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</si>
  <si>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</si>
  <si>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</si>
  <si>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</si>
  <si>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</si>
  <si>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</si>
  <si>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</si>
  <si>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</si>
  <si>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</si>
  <si>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</si>
  <si>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</si>
  <si>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</si>
  <si>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</si>
  <si>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</si>
  <si>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</si>
  <si>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</si>
  <si>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</si>
  <si>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</si>
  <si>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</si>
  <si>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</si>
  <si>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</si>
  <si>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</si>
  <si>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</si>
  <si>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</si>
  <si>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</si>
  <si>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</si>
  <si>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</si>
  <si>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</si>
  <si>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</si>
  <si>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</si>
  <si>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</si>
  <si>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</si>
  <si>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</si>
  <si>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</si>
  <si>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</si>
  <si>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</si>
  <si>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</si>
  <si>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</si>
  <si>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</si>
  <si>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</si>
  <si>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</si>
  <si>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</si>
  <si>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</si>
  <si>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</si>
  <si>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</si>
  <si>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</si>
  <si>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</si>
  <si>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</si>
  <si>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</si>
  <si>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</si>
  <si>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</si>
  <si>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</si>
  <si>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</si>
  <si>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</si>
  <si>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</si>
  <si>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</si>
  <si>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</si>
  <si>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</si>
  <si>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</si>
  <si>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</si>
  <si>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</si>
  <si>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</si>
  <si>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</si>
  <si>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</si>
  <si>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</si>
  <si>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</si>
  <si>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</si>
  <si>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</si>
  <si>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</si>
  <si>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</si>
  <si>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</si>
  <si>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</si>
  <si>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</si>
  <si>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</si>
  <si>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</si>
  <si>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</si>
  <si>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</si>
  <si>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</si>
  <si>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</si>
  <si>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</si>
  <si>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</si>
  <si>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</si>
  <si>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</si>
  <si>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</si>
  <si>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</si>
  <si>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</si>
  <si>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</si>
  <si>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</si>
  <si>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</si>
  <si>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</si>
  <si>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</si>
  <si>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</si>
  <si>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</si>
  <si>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</si>
  <si>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</si>
  <si>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</si>
  <si>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</si>
  <si>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</si>
  <si>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</si>
  <si>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</si>
  <si>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</si>
  <si>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</si>
  <si>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</si>
  <si>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</si>
  <si>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</si>
  <si>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</si>
  <si>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</si>
  <si>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</si>
  <si>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</si>
  <si>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</si>
  <si>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</si>
  <si>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</si>
  <si>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</si>
  <si>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</si>
  <si>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</si>
  <si>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</si>
  <si>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</si>
  <si>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</si>
  <si>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</si>
  <si>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</si>
  <si>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</si>
  <si>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</si>
  <si>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</si>
  <si>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</si>
  <si>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</si>
  <si>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</si>
  <si>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</si>
  <si>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</si>
  <si>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</si>
  <si>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</si>
  <si>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</si>
  <si>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</si>
  <si>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</si>
  <si>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</si>
  <si>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</si>
  <si>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</si>
  <si>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</si>
  <si>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</si>
  <si>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</si>
  <si>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</si>
  <si>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</si>
  <si>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</si>
  <si>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</si>
  <si>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</si>
  <si>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</si>
  <si>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</si>
  <si>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</si>
  <si>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</si>
  <si>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</si>
  <si>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</si>
  <si>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</si>
  <si>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</si>
  <si>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</si>
  <si>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</si>
  <si>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</si>
  <si>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</si>
  <si>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</si>
  <si>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</si>
  <si>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</si>
  <si>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</si>
  <si>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</si>
  <si>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</si>
  <si>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</si>
  <si>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</si>
  <si>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</si>
  <si>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</si>
  <si>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</si>
  <si>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</si>
  <si>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</si>
  <si>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</si>
  <si>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</si>
  <si>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</si>
  <si>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</si>
  <si>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</si>
  <si>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</si>
  <si>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</si>
  <si>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</si>
  <si>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</si>
  <si>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</si>
  <si>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</si>
  <si>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</si>
  <si>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</si>
  <si>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</si>
  <si>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</si>
  <si>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</si>
  <si>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</si>
  <si>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</si>
  <si>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</si>
  <si>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</si>
  <si>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</si>
  <si>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</si>
  <si>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</si>
  <si>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</si>
  <si>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</si>
  <si>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</si>
  <si>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</si>
  <si>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</si>
  <si>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</si>
  <si>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</si>
  <si>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</si>
  <si>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</si>
  <si>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</si>
  <si>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</si>
  <si>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</si>
  <si>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</si>
  <si>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</si>
  <si>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</si>
  <si>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</si>
  <si>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</si>
  <si>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</si>
  <si>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</si>
  <si>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</si>
  <si>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</si>
  <si>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</si>
  <si>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</si>
  <si>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</si>
  <si>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</si>
  <si>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</si>
  <si>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</si>
  <si>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</si>
  <si>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</si>
  <si>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</si>
  <si>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</si>
  <si>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</si>
  <si>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</si>
  <si>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</si>
  <si>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</si>
  <si>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</si>
  <si>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</si>
  <si>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</si>
  <si>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</si>
  <si>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</si>
  <si>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</si>
  <si>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</si>
  <si>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</si>
  <si>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</si>
  <si>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</si>
  <si>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</si>
  <si>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</si>
  <si>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</si>
  <si>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</si>
  <si>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</si>
  <si>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</si>
  <si>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</si>
  <si>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</si>
  <si>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</si>
  <si>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</si>
  <si>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</si>
  <si>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</si>
  <si>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</si>
  <si>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</si>
  <si>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</si>
  <si>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</si>
  <si>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</si>
  <si>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</si>
  <si>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</si>
  <si>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</si>
  <si>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</si>
  <si>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</si>
  <si>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</si>
  <si>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</si>
  <si>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</si>
  <si>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</si>
  <si>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</si>
  <si>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</si>
  <si>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</si>
  <si>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</si>
  <si>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</si>
  <si>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</si>
  <si>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</si>
  <si>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</si>
  <si>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</si>
  <si>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</si>
  <si>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</si>
  <si>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</si>
  <si>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</si>
  <si>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</si>
  <si>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</si>
  <si>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</si>
  <si>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</si>
  <si>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</si>
  <si>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</si>
  <si>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</si>
  <si>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</si>
  <si>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</si>
  <si>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</si>
  <si>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</si>
  <si>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</si>
  <si>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</si>
  <si>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</si>
  <si>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</si>
  <si>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</si>
  <si>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</si>
  <si>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</si>
  <si>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</si>
  <si>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</si>
  <si>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</si>
  <si>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</si>
  <si>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</si>
  <si>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</si>
  <si>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</si>
  <si>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</si>
  <si>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</si>
  <si>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</si>
  <si>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</si>
  <si>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</si>
  <si>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</si>
  <si>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</si>
  <si>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</si>
  <si>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</si>
  <si>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</si>
  <si>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</si>
  <si>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</si>
  <si>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</si>
  <si>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</si>
  <si>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</si>
  <si>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</si>
  <si>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</si>
  <si>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</si>
  <si>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</si>
  <si>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</si>
  <si>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</si>
  <si>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</si>
  <si>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</si>
  <si>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</si>
  <si>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</si>
  <si>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</si>
  <si>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</si>
  <si>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</si>
  <si>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</si>
  <si>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</si>
  <si>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</si>
  <si>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</si>
  <si>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</si>
  <si>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</si>
  <si>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</si>
  <si>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</si>
  <si>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</si>
  <si>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</si>
  <si>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</si>
  <si>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</si>
  <si>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</si>
  <si>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</si>
  <si>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</si>
  <si>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</si>
  <si>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</si>
  <si>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</si>
  <si>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</si>
  <si>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</si>
  <si>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</si>
  <si>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</si>
  <si>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</si>
  <si>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</si>
  <si>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</si>
  <si>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</si>
  <si>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</si>
  <si>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</si>
  <si>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</si>
  <si>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</si>
  <si>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</si>
  <si>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</si>
  <si>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</si>
  <si>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</si>
  <si>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</si>
  <si>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</si>
  <si>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</si>
  <si>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</si>
  <si>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</si>
  <si>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</si>
  <si>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</si>
  <si>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</si>
  <si>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</si>
  <si>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</si>
  <si>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</si>
  <si>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</si>
  <si>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</si>
  <si>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</si>
  <si>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</si>
  <si>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</si>
  <si>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</si>
  <si>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</si>
  <si>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</si>
  <si>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</si>
  <si>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</si>
  <si>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</si>
  <si>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</si>
  <si>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</si>
  <si>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</si>
  <si>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</si>
  <si>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</si>
  <si>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</si>
  <si>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</si>
  <si>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</si>
  <si>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</si>
  <si>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</si>
  <si>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</si>
  <si>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</si>
  <si>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</si>
  <si>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</si>
  <si>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</si>
  <si>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</si>
  <si>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</si>
  <si>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</si>
  <si>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</si>
  <si>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</si>
  <si>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</si>
  <si>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</si>
  <si>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</si>
  <si>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</si>
  <si>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</si>
  <si>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</si>
  <si>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</si>
  <si>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</si>
  <si>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</si>
  <si>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</si>
  <si>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</si>
  <si>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</si>
  <si>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</si>
  <si>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</si>
  <si>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</si>
  <si>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</si>
  <si>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</si>
  <si>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</si>
  <si>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</si>
  <si>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</si>
  <si>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</si>
  <si>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</si>
  <si>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</si>
  <si>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</si>
  <si>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</si>
  <si>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</si>
  <si>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</si>
  <si>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</si>
  <si>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</si>
  <si>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</si>
  <si>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</si>
  <si>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</si>
  <si>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</si>
  <si>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</si>
  <si>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</si>
  <si>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</si>
  <si>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</si>
  <si>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</si>
  <si>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</si>
  <si>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</si>
  <si>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</si>
  <si>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</si>
  <si>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</si>
  <si>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</si>
  <si>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</si>
  <si>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</si>
  <si>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</si>
  <si>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</si>
  <si>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</si>
  <si>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</si>
  <si>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</si>
  <si>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</si>
  <si>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</si>
  <si>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</si>
  <si>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</si>
  <si>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</si>
  <si>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</si>
  <si>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</si>
  <si>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</si>
  <si>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</si>
  <si>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</si>
  <si>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</si>
  <si>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</si>
  <si>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</si>
  <si>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</si>
  <si>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</si>
  <si>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</si>
  <si>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</si>
  <si>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</si>
  <si>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</si>
  <si>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</si>
  <si>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</si>
  <si>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</si>
  <si>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</si>
  <si>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</si>
  <si>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</si>
  <si>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</si>
  <si>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</si>
  <si>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</si>
  <si>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</si>
  <si>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</si>
  <si>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</si>
  <si>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</si>
  <si>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</si>
  <si>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</si>
  <si>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</si>
  <si>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</si>
  <si>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</si>
  <si>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</si>
  <si>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</si>
  <si>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</si>
  <si>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</si>
  <si>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</si>
  <si>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</si>
  <si>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</si>
  <si>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</si>
  <si>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</si>
  <si>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</si>
  <si>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</si>
  <si>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</si>
  <si>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</si>
  <si>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</si>
  <si>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</si>
  <si>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</si>
  <si>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</si>
  <si>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</si>
  <si>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</si>
  <si>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</si>
  <si>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</si>
  <si>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</si>
  <si>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</si>
  <si>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</si>
  <si>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</si>
  <si>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</si>
  <si>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</si>
  <si>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</si>
  <si>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</si>
  <si>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</si>
  <si>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</si>
  <si>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</si>
  <si>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</si>
  <si>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</si>
  <si>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</si>
  <si>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</si>
  <si>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</si>
  <si>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</si>
  <si>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</si>
  <si>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</si>
  <si>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</si>
  <si>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</si>
  <si>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</si>
  <si>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</si>
  <si>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</si>
  <si>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</si>
  <si>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</si>
  <si>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</si>
  <si>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</si>
  <si>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</si>
  <si>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</si>
  <si>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</si>
  <si>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</si>
  <si>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</si>
  <si>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</si>
  <si>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</si>
  <si>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</si>
  <si>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</si>
  <si>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</si>
  <si>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</si>
  <si>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</si>
  <si>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</si>
  <si>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</si>
  <si>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</si>
  <si>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</si>
  <si>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</si>
  <si>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</si>
  <si>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</si>
  <si>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</si>
  <si>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</si>
  <si>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</si>
  <si>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</si>
  <si>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</si>
  <si>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</si>
  <si>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</si>
  <si>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</si>
  <si>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</si>
  <si>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</si>
  <si>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</si>
  <si>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</si>
  <si>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</si>
  <si>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</si>
  <si>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</si>
  <si>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</si>
  <si>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</si>
  <si>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</si>
  <si>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</si>
  <si>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</si>
  <si>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</si>
  <si>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</si>
  <si>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</si>
  <si>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</si>
  <si>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</si>
  <si>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</si>
  <si>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</si>
  <si>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</si>
  <si>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</si>
  <si>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</si>
  <si>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</si>
  <si>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</si>
  <si>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</si>
  <si>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</si>
  <si>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</si>
  <si>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</si>
  <si>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</si>
  <si>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</si>
  <si>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</si>
  <si>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</si>
  <si>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</si>
  <si>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</si>
  <si>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</si>
  <si>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</si>
  <si>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</si>
  <si>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</si>
  <si>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</si>
  <si>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</si>
  <si>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</si>
  <si>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</si>
  <si>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</si>
  <si>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</si>
  <si>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</si>
  <si>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</si>
  <si>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</si>
  <si>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</si>
  <si>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</si>
  <si>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</si>
  <si>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</si>
  <si>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</si>
  <si>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</si>
  <si>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</si>
  <si>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</si>
  <si>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</si>
  <si>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</si>
  <si>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</si>
  <si>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</si>
  <si>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</si>
  <si>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</si>
  <si>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</si>
  <si>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</si>
  <si>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</si>
  <si>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</si>
  <si>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</si>
  <si>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</si>
  <si>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</si>
  <si>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</si>
  <si>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</si>
  <si>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</si>
  <si>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</si>
  <si>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</si>
  <si>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</si>
  <si>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</si>
  <si>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</si>
  <si>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</si>
  <si>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</si>
  <si>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</si>
  <si>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</si>
  <si>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</si>
  <si>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</si>
  <si>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</si>
  <si>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</si>
  <si>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</si>
  <si>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</si>
  <si>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</si>
  <si>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</si>
  <si>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</si>
  <si>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</si>
  <si>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</si>
  <si>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</si>
  <si>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</si>
  <si>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</si>
  <si>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</si>
  <si>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</si>
  <si>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</si>
  <si>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</si>
  <si>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</si>
  <si>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</si>
  <si>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</si>
  <si>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</si>
  <si>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</si>
  <si>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</si>
  <si>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</si>
  <si>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</si>
  <si>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</si>
  <si>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</si>
  <si>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</si>
  <si>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</si>
  <si>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</si>
  <si>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</si>
  <si>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</si>
  <si>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</si>
  <si>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</si>
  <si>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</si>
  <si>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</si>
  <si>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</si>
  <si>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</si>
  <si>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</si>
  <si>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</si>
  <si>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</si>
  <si>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</si>
  <si>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</si>
  <si>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</si>
  <si>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</si>
  <si>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</si>
  <si>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</si>
  <si>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</si>
  <si>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</si>
  <si>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</si>
  <si>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</si>
  <si>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</si>
  <si>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</si>
  <si>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</si>
  <si>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</si>
  <si>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</si>
  <si>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</si>
  <si>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</si>
  <si>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</si>
  <si>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</si>
  <si>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</si>
  <si>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</si>
  <si>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</si>
  <si>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</si>
  <si>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</si>
  <si>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</si>
  <si>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</si>
  <si>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</si>
  <si>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</si>
  <si>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</si>
  <si>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</si>
  <si>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</si>
  <si>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</si>
  <si>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</si>
  <si>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</si>
  <si>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</si>
  <si>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</si>
  <si>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</si>
  <si>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</si>
  <si>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</si>
  <si>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</si>
  <si>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</si>
  <si>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</si>
  <si>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</si>
  <si>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</si>
  <si>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</si>
  <si>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</si>
  <si>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</si>
  <si>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</si>
  <si>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</si>
  <si>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</si>
  <si>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</si>
  <si>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</si>
  <si>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</si>
  <si>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</si>
  <si>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</si>
  <si>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</si>
  <si>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</si>
  <si>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</si>
  <si>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</si>
  <si>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</si>
  <si>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</si>
  <si>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</si>
  <si>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</si>
  <si>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</si>
  <si>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</si>
  <si>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</si>
  <si>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</si>
  <si>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</si>
  <si>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</si>
  <si>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</si>
  <si>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</si>
  <si>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</si>
  <si>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</si>
  <si>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</si>
  <si>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</si>
  <si>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</si>
  <si>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</si>
  <si>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</si>
  <si>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</si>
  <si>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</si>
  <si>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</si>
  <si>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</si>
  <si>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</si>
  <si>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</si>
  <si>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</si>
  <si>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</si>
  <si>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</si>
  <si>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</si>
  <si>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</si>
  <si>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</si>
  <si>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</si>
  <si>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</si>
  <si>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</si>
  <si>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</si>
  <si>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</si>
  <si>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</si>
  <si>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</si>
  <si>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</si>
  <si>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</si>
  <si>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</si>
  <si>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</si>
  <si>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</si>
  <si>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</si>
  <si>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</si>
  <si>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</si>
  <si>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</si>
  <si>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</si>
  <si>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</si>
  <si>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</si>
  <si>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</si>
  <si>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</si>
  <si>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</si>
  <si>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</si>
  <si>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</si>
  <si>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</si>
  <si>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</si>
  <si>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</si>
  <si>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</si>
  <si>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</si>
  <si>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</si>
  <si>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</si>
  <si>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</si>
  <si>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</si>
  <si>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</si>
  <si>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</si>
  <si>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</si>
  <si>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</si>
  <si>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</si>
  <si>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</si>
  <si>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</si>
  <si>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</si>
  <si>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</si>
  <si>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</si>
  <si>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</si>
  <si>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</si>
  <si>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</si>
  <si>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</si>
  <si>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</si>
  <si>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</si>
  <si>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</si>
  <si>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</si>
  <si>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</si>
  <si>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</si>
  <si>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</si>
  <si>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</si>
  <si>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</si>
  <si>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</si>
  <si>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</si>
  <si>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</si>
  <si>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</si>
  <si>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</si>
  <si>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</si>
  <si>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</si>
  <si>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</si>
  <si>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</si>
  <si>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</si>
  <si>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</si>
  <si>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</si>
  <si>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</si>
  <si>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</si>
  <si>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</si>
  <si>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</si>
  <si>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</si>
  <si>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</si>
  <si>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</si>
  <si>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</si>
  <si>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</si>
  <si>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</si>
  <si>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</si>
  <si>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</si>
  <si>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</si>
  <si>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</si>
  <si>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</si>
  <si>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</si>
  <si>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</si>
  <si>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</si>
  <si>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</si>
  <si>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</si>
  <si>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</si>
  <si>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</si>
  <si>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</si>
  <si>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</si>
  <si>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</si>
  <si>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</si>
  <si>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</si>
  <si>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</si>
  <si>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</si>
  <si>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</si>
  <si>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</si>
  <si>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</si>
  <si>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</si>
  <si>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</si>
  <si>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</si>
  <si>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</si>
  <si>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</si>
  <si>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</si>
  <si>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</si>
  <si>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</si>
  <si>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</si>
  <si>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</si>
  <si>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</si>
  <si>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</si>
  <si>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</si>
  <si>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</si>
  <si>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</si>
  <si>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</si>
  <si>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</si>
  <si>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</si>
  <si>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</si>
  <si>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</si>
  <si>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</si>
  <si>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</si>
  <si>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</si>
  <si>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</si>
  <si>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</si>
  <si>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</si>
  <si>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</si>
  <si>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</si>
  <si>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</si>
  <si>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</si>
  <si>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</si>
  <si>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</si>
  <si>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</si>
  <si>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</si>
  <si>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</si>
  <si>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</si>
  <si>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</si>
  <si>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</si>
  <si>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</si>
  <si>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</si>
  <si>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</si>
  <si>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</si>
  <si>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</si>
  <si>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</si>
  <si>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</si>
  <si>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</si>
  <si>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</si>
  <si>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</si>
  <si>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</si>
  <si>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</si>
  <si>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</si>
  <si>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</si>
  <si>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</si>
  <si>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</si>
  <si>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</si>
  <si>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</si>
  <si>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</si>
  <si>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</si>
  <si>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</si>
  <si>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</si>
  <si>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</si>
  <si>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</si>
  <si>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</si>
  <si>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</si>
  <si>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</si>
  <si>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</si>
  <si>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</si>
  <si>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</si>
  <si>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</si>
  <si>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</si>
  <si>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</si>
  <si>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</si>
  <si>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</si>
  <si>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</si>
  <si>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</si>
  <si>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</si>
  <si>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</si>
  <si>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</si>
  <si>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</si>
  <si>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</si>
  <si>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</si>
  <si>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</si>
  <si>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</si>
  <si>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</si>
  <si>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</si>
  <si>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</si>
  <si>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</si>
  <si>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</si>
  <si>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</si>
  <si>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</si>
  <si>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</si>
  <si>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</si>
  <si>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</si>
  <si>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</si>
  <si>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</si>
  <si>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</si>
  <si>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</si>
  <si>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</si>
  <si>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</si>
  <si>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</si>
  <si>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</si>
  <si>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</si>
  <si>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</si>
  <si>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</si>
  <si>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</si>
  <si>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</si>
  <si>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</si>
  <si>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</si>
  <si>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</si>
  <si>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</si>
  <si>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</si>
  <si>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</si>
  <si>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</si>
  <si>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</si>
  <si>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</si>
  <si>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</si>
  <si>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</si>
  <si>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</si>
  <si>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</si>
  <si>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</si>
  <si>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</si>
  <si>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</si>
  <si>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</si>
  <si>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</si>
  <si>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</si>
  <si>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</si>
  <si>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</si>
  <si>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</si>
  <si>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</si>
  <si>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</si>
  <si>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</si>
  <si>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</si>
  <si>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</si>
  <si>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</si>
  <si>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</si>
  <si>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</si>
  <si>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</si>
  <si>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</si>
  <si>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</si>
  <si>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</si>
  <si>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</si>
  <si>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</si>
  <si>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</si>
  <si>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</si>
  <si>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</si>
  <si>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</si>
  <si>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</si>
  <si>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</si>
  <si>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</si>
  <si>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</si>
  <si>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</si>
  <si>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</si>
  <si>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</si>
  <si>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</si>
  <si>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</si>
  <si>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</si>
  <si>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</si>
  <si>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</si>
  <si>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</si>
  <si>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</si>
  <si>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</si>
  <si>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</si>
  <si>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</si>
  <si>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</si>
  <si>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</si>
  <si>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</si>
  <si>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</si>
  <si>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</si>
  <si>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</si>
  <si>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</si>
  <si>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</si>
  <si>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</si>
  <si>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</si>
  <si>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</si>
  <si>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</si>
  <si>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</si>
  <si>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</si>
  <si>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</si>
  <si>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</si>
  <si>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</si>
  <si>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</si>
  <si>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</si>
  <si>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</si>
  <si>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</si>
  <si>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</si>
  <si>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</si>
  <si>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</si>
  <si>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</si>
  <si>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</si>
  <si>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</si>
  <si>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</si>
  <si>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</si>
  <si>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</si>
  <si>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</si>
  <si>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</si>
  <si>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</si>
  <si>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</si>
  <si>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</si>
  <si>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</si>
  <si>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</si>
  <si>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</si>
  <si>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</si>
  <si>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</si>
  <si>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</si>
  <si>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</si>
  <si>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</si>
  <si>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</si>
  <si>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</si>
  <si>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</si>
  <si>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</si>
  <si>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</si>
  <si>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</si>
  <si>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</si>
  <si>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</si>
  <si>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</si>
  <si>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</si>
  <si>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</si>
  <si>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</si>
  <si>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</si>
  <si>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</si>
  <si>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</si>
  <si>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</si>
  <si>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</si>
  <si>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</si>
  <si>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</si>
  <si>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</si>
  <si>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</si>
  <si>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</si>
  <si>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</si>
  <si>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</si>
  <si>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</si>
  <si>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</si>
  <si>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</si>
  <si>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</si>
  <si>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</si>
  <si>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</si>
  <si>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</si>
  <si>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</si>
  <si>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</si>
  <si>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</si>
  <si>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</si>
  <si>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</si>
  <si>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</si>
  <si>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</si>
  <si>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</si>
  <si>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</si>
  <si>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</si>
  <si>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</si>
  <si>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</si>
  <si>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</si>
  <si>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</si>
  <si>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</si>
  <si>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</si>
  <si>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</si>
  <si>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</si>
  <si>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</si>
  <si>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</si>
  <si>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</si>
  <si>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</si>
  <si>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</si>
  <si>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</si>
  <si>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</si>
  <si>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</si>
  <si>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</si>
  <si>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</si>
  <si>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</si>
  <si>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</si>
  <si>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</si>
  <si>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</si>
  <si>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</si>
  <si>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</si>
  <si>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</si>
  <si>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</si>
  <si>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</si>
  <si>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</si>
  <si>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</si>
  <si>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</si>
  <si>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</si>
  <si>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</si>
  <si>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</si>
  <si>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</si>
  <si>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</si>
  <si>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</si>
  <si>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</si>
  <si>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</si>
  <si>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</si>
  <si>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</si>
  <si>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</si>
  <si>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</si>
  <si>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</si>
  <si>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</si>
  <si>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</si>
  <si>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</si>
  <si>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</si>
  <si>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</si>
  <si>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</si>
  <si>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</si>
  <si>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</si>
  <si>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</si>
  <si>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</si>
  <si>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</si>
  <si>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</si>
  <si>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</si>
  <si>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</si>
  <si>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</si>
  <si>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</si>
  <si>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</si>
  <si>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</si>
  <si>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</si>
  <si>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</si>
  <si>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</si>
  <si>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</si>
  <si>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</si>
  <si>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</si>
  <si>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</si>
  <si>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</si>
  <si>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</si>
  <si>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</si>
  <si>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</si>
  <si>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</si>
  <si>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</si>
  <si>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</si>
  <si>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</si>
  <si>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</si>
  <si>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</si>
  <si>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</si>
  <si>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</si>
  <si>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</si>
  <si>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</si>
  <si>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</si>
  <si>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</si>
  <si>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</si>
  <si>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</si>
  <si>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</si>
  <si>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</si>
  <si>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</si>
  <si>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</si>
  <si>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</si>
  <si>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</si>
  <si>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</si>
  <si>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</si>
  <si>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</si>
  <si>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</si>
  <si>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</si>
  <si>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</si>
  <si>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</si>
  <si>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</si>
  <si>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</si>
  <si>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</si>
  <si>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</si>
  <si>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</si>
  <si>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</si>
  <si>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</si>
  <si>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</si>
  <si>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</si>
  <si>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</si>
  <si>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</si>
  <si>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</si>
  <si>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</si>
  <si>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</si>
  <si>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</si>
  <si>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</si>
  <si>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</si>
  <si>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</si>
  <si>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</si>
  <si>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</si>
  <si>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</si>
  <si>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</si>
  <si>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</si>
  <si>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</si>
  <si>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</si>
  <si>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</si>
  <si>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</si>
  <si>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</si>
  <si>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</si>
  <si>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</si>
  <si>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</si>
  <si>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</si>
  <si>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</si>
  <si>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</si>
  <si>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</si>
  <si>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</si>
  <si>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</si>
  <si>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</si>
  <si>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</si>
  <si>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</si>
  <si>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</si>
  <si>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</si>
  <si>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</si>
  <si>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</si>
  <si>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</si>
  <si>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</si>
  <si>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</si>
  <si>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</si>
  <si>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</si>
  <si>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</si>
  <si>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</si>
  <si>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</si>
  <si>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</si>
  <si>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</si>
  <si>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</si>
  <si>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</si>
  <si>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</si>
  <si>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</si>
  <si>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</si>
  <si>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</si>
  <si>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</si>
  <si>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</si>
  <si>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</si>
  <si>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</si>
  <si>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</si>
  <si>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</si>
  <si>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</si>
  <si>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</si>
  <si>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</si>
  <si>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</si>
  <si>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</si>
  <si>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</si>
  <si>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</si>
  <si>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</si>
  <si>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</si>
  <si>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</si>
  <si>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</si>
  <si>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</si>
  <si>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</si>
  <si>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</si>
  <si>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</si>
  <si>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</si>
  <si>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</si>
  <si>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</si>
  <si>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</si>
  <si>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</si>
  <si>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</si>
  <si>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</si>
  <si>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</si>
  <si>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</si>
  <si>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</si>
  <si>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</si>
  <si>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</si>
  <si>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</si>
  <si>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</si>
  <si>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</si>
  <si>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</si>
  <si>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</si>
  <si>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</si>
  <si>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</si>
  <si>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</si>
  <si>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</si>
  <si>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</si>
  <si>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</si>
  <si>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</si>
  <si>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</si>
  <si>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</si>
  <si>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</si>
  <si>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</si>
  <si>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</si>
  <si>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</si>
  <si>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</si>
  <si>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</si>
  <si>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</si>
  <si>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</si>
  <si>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</si>
  <si>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</si>
  <si>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</si>
  <si>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</si>
  <si>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</si>
  <si>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</si>
  <si>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</si>
  <si>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</si>
  <si>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</si>
  <si>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</si>
  <si>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</si>
  <si>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</si>
  <si>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</si>
  <si>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</si>
  <si>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</si>
  <si>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</si>
  <si>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</si>
  <si>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</si>
  <si>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</si>
  <si>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</si>
  <si>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</si>
  <si>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</si>
  <si>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</si>
  <si>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</si>
  <si>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</si>
  <si>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</si>
  <si>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</si>
  <si>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</si>
  <si>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</si>
  <si>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</si>
  <si>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</si>
  <si>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</si>
  <si>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</si>
  <si>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</si>
  <si>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</si>
  <si>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</si>
  <si>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</si>
  <si>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</si>
  <si>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</si>
  <si>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</si>
  <si>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</si>
  <si>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</si>
  <si>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</si>
  <si>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</si>
  <si>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</si>
  <si>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</si>
  <si>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</si>
  <si>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</si>
  <si>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</si>
  <si>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</si>
  <si>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</si>
  <si>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</si>
  <si>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</si>
  <si>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</si>
  <si>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</si>
  <si>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</si>
  <si>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</si>
  <si>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</si>
  <si>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</si>
  <si>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</si>
  <si>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</si>
  <si>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</si>
  <si>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</si>
  <si>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</si>
  <si>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</si>
  <si>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</si>
  <si>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</si>
  <si>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</si>
  <si>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</si>
  <si>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</si>
  <si>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</si>
  <si>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</si>
  <si>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</si>
  <si>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</si>
  <si>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</si>
  <si>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</si>
  <si>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</si>
  <si>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</si>
  <si>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</si>
  <si>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</si>
  <si>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</si>
  <si>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</si>
  <si>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</si>
  <si>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</si>
  <si>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</si>
  <si>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</si>
  <si>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</si>
  <si>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</si>
  <si>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</si>
  <si>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</si>
  <si>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</si>
  <si>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</si>
  <si>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</si>
  <si>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</si>
  <si>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</si>
  <si>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</si>
  <si>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</si>
  <si>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</si>
  <si>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</si>
  <si>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</si>
  <si>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</si>
  <si>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</si>
  <si>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</si>
  <si>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</si>
  <si>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</si>
  <si>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</si>
  <si>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</si>
  <si>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</si>
  <si>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</si>
  <si>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</si>
  <si>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</si>
  <si>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</si>
  <si>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</si>
  <si>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</si>
  <si>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</si>
  <si>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</si>
  <si>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</si>
  <si>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</si>
  <si>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</si>
  <si>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</si>
  <si>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</si>
  <si>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</si>
  <si>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</si>
  <si>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</si>
  <si>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</si>
  <si>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</si>
  <si>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</si>
  <si>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</si>
  <si>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</si>
  <si>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</si>
  <si>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</si>
  <si>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</si>
  <si>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</si>
  <si>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</si>
  <si>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</si>
  <si>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</si>
  <si>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</si>
  <si>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</si>
  <si>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</si>
  <si>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</si>
  <si>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</si>
  <si>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</si>
  <si>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</si>
  <si>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</si>
  <si>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</si>
  <si>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</si>
  <si>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</si>
  <si>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</si>
  <si>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</si>
  <si>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</si>
  <si>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</si>
  <si>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</si>
  <si>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</si>
  <si>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</si>
  <si>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</si>
  <si>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</si>
  <si>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</si>
  <si>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</si>
  <si>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</si>
  <si>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</si>
  <si>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</si>
  <si>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</si>
  <si>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</si>
  <si>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</si>
  <si>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</si>
  <si>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</si>
  <si>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</si>
  <si>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</si>
  <si>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</si>
  <si>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</si>
  <si>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</si>
  <si>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</si>
  <si>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</si>
  <si>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</si>
  <si>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</si>
  <si>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</si>
  <si>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</si>
  <si>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</si>
  <si>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</si>
  <si>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</si>
  <si>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</si>
  <si>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</si>
  <si>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</si>
  <si>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</si>
  <si>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</si>
  <si>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</si>
  <si>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</si>
  <si>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</si>
  <si>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</si>
  <si>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</si>
  <si>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</si>
  <si>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</si>
  <si>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</si>
  <si>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</si>
  <si>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</si>
  <si>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</si>
  <si>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</si>
  <si>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</si>
  <si>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</si>
  <si>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</si>
  <si>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</si>
  <si>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</si>
  <si>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</si>
  <si>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</si>
  <si>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</si>
  <si>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</si>
  <si>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</si>
  <si>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</si>
  <si>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</si>
  <si>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</si>
  <si>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</si>
  <si>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</si>
  <si>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</si>
  <si>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</si>
  <si>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</si>
  <si>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</si>
  <si>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</si>
  <si>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</si>
  <si>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</si>
  <si>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</si>
  <si>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</si>
  <si>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</si>
  <si>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</si>
  <si>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</si>
  <si>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</si>
  <si>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</si>
  <si>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</si>
  <si>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</si>
  <si>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</si>
  <si>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</si>
  <si>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</si>
  <si>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</si>
  <si>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</si>
  <si>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</si>
  <si>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</si>
  <si>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</si>
  <si>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</si>
  <si>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</si>
  <si>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</si>
  <si>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</si>
  <si>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</si>
  <si>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</si>
  <si>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</si>
  <si>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</si>
  <si>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</si>
  <si>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</si>
  <si>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</si>
  <si>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</si>
  <si>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</si>
  <si>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</si>
  <si>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</si>
  <si>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</si>
  <si>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</si>
  <si>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</si>
  <si>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</si>
  <si>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</si>
  <si>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</si>
  <si>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</si>
  <si>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</si>
  <si>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</si>
  <si>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</si>
  <si>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</si>
  <si>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</si>
  <si>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</si>
  <si>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</si>
  <si>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</si>
  <si>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</si>
  <si>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</si>
  <si>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</si>
  <si>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</si>
  <si>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</si>
  <si>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</si>
  <si>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</si>
  <si>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</si>
  <si>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</si>
  <si>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</si>
  <si>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</si>
  <si>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</si>
  <si>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</si>
  <si>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</si>
  <si>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</si>
  <si>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</si>
  <si>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</si>
  <si>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</si>
  <si>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</si>
  <si>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</si>
  <si>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</si>
  <si>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</si>
  <si>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</si>
  <si>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</si>
  <si>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</si>
  <si>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</si>
  <si>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</si>
  <si>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</si>
  <si>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</si>
  <si>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</si>
  <si>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</si>
  <si>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</si>
  <si>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</si>
  <si>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</si>
  <si>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</si>
  <si>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</si>
  <si>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</si>
  <si>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</si>
  <si>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</si>
  <si>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</si>
  <si>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</si>
  <si>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</si>
  <si>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</si>
  <si>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</si>
  <si>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</si>
  <si>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</si>
  <si>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</si>
  <si>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</si>
  <si>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</si>
  <si>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</si>
  <si>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</si>
  <si>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</si>
  <si>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</si>
  <si>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</si>
  <si>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</si>
  <si>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</si>
  <si>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</si>
  <si>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</si>
  <si>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</si>
  <si>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</si>
  <si>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</si>
  <si>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</si>
  <si>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</si>
  <si>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</si>
  <si>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</si>
  <si>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</si>
  <si>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</si>
  <si>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</si>
  <si>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</si>
  <si>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</si>
  <si>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</si>
  <si>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</si>
  <si>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</si>
  <si>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</si>
  <si>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</si>
  <si>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</si>
  <si>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</si>
  <si>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</si>
  <si>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</si>
  <si>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</si>
  <si>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</si>
  <si>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</si>
  <si>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</si>
  <si>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</si>
  <si>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</si>
  <si>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</si>
  <si>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</si>
  <si>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</si>
  <si>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</si>
  <si>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</si>
  <si>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</si>
  <si>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</si>
  <si>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</si>
  <si>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</si>
  <si>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</si>
  <si>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</si>
  <si>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</si>
  <si>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</si>
  <si>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</si>
  <si>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</si>
  <si>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</si>
  <si>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</si>
  <si>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</si>
  <si>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</si>
  <si>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</si>
  <si>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</si>
  <si>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</si>
  <si>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</si>
  <si>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</si>
  <si>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</si>
  <si>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</si>
  <si>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</si>
  <si>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</si>
  <si>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</si>
  <si>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</si>
  <si>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</si>
  <si>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</si>
  <si>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</si>
  <si>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</si>
  <si>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</si>
  <si>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</si>
  <si>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</si>
  <si>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</si>
  <si>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</si>
  <si>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</si>
  <si>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</si>
  <si>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</si>
  <si>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</si>
  <si>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</si>
  <si>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</si>
  <si>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</si>
  <si>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</si>
  <si>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</si>
  <si>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</si>
  <si>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</si>
  <si>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</si>
  <si>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</si>
  <si>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</si>
  <si>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</si>
  <si>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</si>
  <si>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</si>
  <si>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</si>
  <si>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</si>
  <si>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</si>
  <si>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</si>
  <si>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</si>
  <si>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</si>
  <si>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</si>
  <si>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</si>
  <si>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</si>
  <si>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</si>
  <si>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</si>
  <si>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</si>
  <si>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</si>
  <si>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</si>
  <si>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</si>
  <si>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</si>
  <si>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</si>
  <si>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</si>
  <si>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</si>
  <si>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</si>
  <si>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</si>
  <si>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</si>
  <si>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</si>
  <si>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</si>
  <si>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</si>
  <si>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</si>
  <si>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</si>
  <si>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</si>
  <si>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</si>
  <si>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</si>
  <si>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</si>
  <si>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</si>
  <si>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</si>
  <si>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</si>
  <si>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</si>
  <si>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</si>
  <si>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</si>
  <si>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</si>
  <si>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</si>
  <si>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</si>
  <si>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</si>
  <si>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</si>
  <si>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</si>
  <si>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</si>
  <si>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</si>
  <si>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</si>
  <si>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</si>
  <si>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</si>
  <si>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</si>
  <si>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</si>
  <si>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</si>
  <si>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</si>
  <si>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</si>
  <si>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</si>
  <si>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</si>
  <si>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</si>
  <si>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</si>
  <si>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</si>
  <si>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</si>
  <si>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</si>
  <si>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</si>
  <si>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</si>
  <si>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</si>
  <si>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</si>
  <si>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</si>
  <si>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</si>
  <si>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</si>
  <si>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</si>
  <si>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</si>
  <si>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</si>
  <si>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</si>
  <si>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</si>
  <si>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</si>
  <si>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</si>
  <si>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</si>
  <si>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</si>
  <si>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</si>
  <si>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</si>
  <si>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</si>
  <si>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</si>
  <si>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</si>
  <si>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</si>
  <si>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</si>
  <si>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</si>
  <si>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</si>
  <si>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</si>
  <si>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</si>
  <si>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</si>
  <si>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</si>
  <si>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</si>
  <si>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</si>
  <si>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</si>
  <si>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</si>
  <si>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</si>
  <si>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</si>
  <si>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</si>
  <si>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</si>
  <si>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</si>
  <si>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</si>
  <si>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</si>
  <si>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</si>
  <si>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</si>
  <si>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</si>
  <si>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</si>
  <si>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</si>
  <si>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</si>
  <si>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</si>
  <si>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</si>
  <si>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</si>
  <si>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</si>
  <si>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</si>
  <si>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</si>
  <si>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</si>
  <si>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</si>
  <si>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</si>
  <si>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</si>
  <si>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</si>
  <si>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</si>
  <si>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</si>
  <si>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</si>
  <si>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</si>
  <si>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</si>
  <si>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</si>
  <si>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</si>
  <si>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</si>
  <si>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</si>
  <si>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</si>
  <si>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</si>
  <si>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</si>
  <si>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</si>
  <si>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</si>
  <si>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</si>
  <si>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</si>
  <si>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</si>
  <si>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</si>
  <si>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</si>
  <si>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</si>
  <si>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</si>
  <si>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</si>
  <si>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</si>
  <si>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</si>
  <si>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</si>
  <si>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</si>
  <si>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</si>
  <si>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</si>
  <si>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</si>
  <si>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</si>
  <si>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</si>
  <si>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</si>
  <si>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</si>
  <si>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</si>
  <si>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</si>
  <si>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</si>
  <si>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</si>
  <si>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</si>
  <si>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</si>
  <si>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</si>
  <si>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</si>
  <si>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</si>
  <si>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</si>
  <si>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</si>
  <si>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</si>
  <si>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</si>
  <si>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</si>
  <si>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</si>
  <si>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</si>
  <si>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</si>
  <si>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</si>
  <si>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</si>
  <si>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</si>
  <si>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</si>
  <si>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</si>
  <si>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</si>
  <si>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</si>
  <si>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</si>
  <si>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</si>
  <si>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</si>
  <si>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</si>
  <si>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</si>
  <si>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</si>
  <si>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</si>
  <si>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</si>
  <si>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</si>
  <si>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</si>
  <si>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</si>
  <si>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</si>
  <si>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</si>
  <si>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</si>
  <si>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</si>
  <si>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</si>
  <si>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</si>
  <si>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</si>
  <si>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</si>
  <si>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</si>
  <si>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</si>
  <si>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</si>
  <si>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</si>
  <si>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</si>
  <si>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</si>
  <si>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</si>
  <si>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</si>
  <si>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</si>
  <si>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</si>
  <si>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</si>
  <si>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</si>
  <si>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</si>
  <si>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</si>
  <si>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</si>
  <si>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</si>
  <si>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</si>
  <si>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</si>
  <si>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</si>
  <si>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</si>
  <si>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</si>
  <si>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</si>
  <si>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</si>
  <si>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</si>
  <si>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</si>
  <si>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</si>
  <si>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</si>
  <si>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</si>
  <si>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</si>
  <si>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</si>
  <si>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</si>
  <si>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</si>
  <si>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</si>
  <si>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</si>
  <si>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</si>
  <si>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</si>
  <si>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</si>
  <si>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</si>
  <si>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</si>
  <si>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</si>
  <si>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</si>
  <si>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</si>
  <si>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</si>
  <si>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</si>
  <si>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</si>
  <si>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</si>
  <si>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</si>
  <si>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</si>
  <si>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</si>
  <si>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</si>
  <si>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</si>
  <si>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</si>
  <si>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</si>
  <si>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</si>
  <si>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</si>
  <si>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</si>
  <si>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</si>
  <si>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</si>
  <si>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</si>
  <si>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</si>
  <si>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</si>
  <si>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</si>
  <si>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</si>
  <si>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</si>
  <si>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</si>
  <si>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</si>
  <si>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</si>
  <si>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</si>
  <si>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</si>
  <si>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</si>
  <si>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</si>
  <si>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</si>
  <si>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</si>
  <si>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</si>
  <si>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</si>
  <si>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</si>
  <si>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</si>
  <si>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</si>
  <si>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</si>
  <si>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</si>
  <si>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</si>
  <si>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</si>
  <si>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</si>
  <si>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</si>
  <si>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</si>
  <si>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</si>
  <si>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</si>
  <si>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</si>
  <si>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</si>
  <si>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</si>
  <si>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</si>
  <si>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</si>
  <si>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</si>
  <si>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</si>
  <si>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</si>
  <si>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</si>
  <si>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</si>
  <si>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</si>
  <si>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</si>
  <si>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</si>
  <si>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</si>
  <si>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</si>
  <si>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</si>
  <si>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</si>
  <si>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</si>
  <si>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</si>
  <si>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</si>
  <si>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</si>
  <si>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</si>
  <si>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</si>
  <si>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</si>
  <si>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</si>
  <si>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</si>
  <si>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</si>
  <si>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</si>
  <si>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</si>
  <si>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</si>
  <si>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</si>
  <si>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</si>
  <si>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</si>
  <si>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</si>
  <si>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</si>
  <si>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</si>
  <si>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</si>
  <si>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</si>
  <si>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</si>
  <si>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</si>
  <si>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</si>
  <si>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</si>
  <si>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</si>
  <si>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</si>
  <si>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</si>
  <si>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</si>
  <si>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</si>
  <si>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</si>
  <si>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</si>
  <si>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</si>
  <si>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</si>
  <si>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</si>
  <si>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</si>
  <si>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</si>
  <si>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</si>
  <si>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</si>
  <si>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</si>
  <si>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</si>
  <si>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</si>
  <si>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</si>
  <si>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</si>
  <si>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</si>
  <si>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</si>
  <si>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</si>
  <si>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</si>
  <si>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</si>
  <si>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</si>
  <si>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</si>
  <si>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</si>
  <si>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</si>
  <si>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</si>
  <si>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</si>
  <si>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</si>
  <si>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</si>
  <si>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</si>
  <si>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</si>
  <si>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</si>
  <si>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</si>
  <si>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</si>
  <si>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</si>
  <si>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</si>
  <si>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</si>
  <si>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</si>
  <si>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</si>
  <si>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</si>
  <si>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</si>
  <si>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</si>
  <si>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</si>
  <si>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</si>
  <si>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</si>
  <si>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</si>
  <si>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</si>
  <si>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</si>
  <si>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</si>
  <si>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</si>
  <si>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</si>
  <si>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</si>
  <si>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</si>
  <si>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</si>
  <si>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</si>
  <si>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</si>
  <si>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</si>
  <si>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</si>
  <si>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</si>
  <si>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</si>
  <si>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</si>
  <si>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</si>
  <si>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</si>
  <si>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</si>
  <si>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</si>
  <si>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</si>
  <si>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</si>
  <si>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</si>
  <si>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</si>
  <si>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</si>
  <si>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</si>
  <si>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</si>
  <si>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</si>
  <si>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</si>
  <si>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</si>
  <si>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</si>
  <si>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</si>
  <si>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</si>
  <si>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</si>
  <si>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</si>
  <si>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</si>
  <si>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</si>
  <si>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</si>
  <si>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</si>
  <si>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</si>
  <si>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</si>
  <si>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</si>
  <si>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</si>
  <si>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</si>
  <si>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</si>
  <si>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</si>
  <si>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</si>
  <si>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</si>
  <si>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</si>
  <si>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</si>
  <si>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</si>
  <si>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</si>
  <si>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</si>
  <si>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</si>
  <si>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</si>
  <si>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</si>
  <si>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</si>
  <si>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</si>
  <si>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</si>
  <si>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</si>
  <si>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</si>
  <si>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</si>
  <si>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</si>
  <si>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</si>
  <si>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</si>
  <si>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</si>
  <si>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</si>
  <si>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</si>
  <si>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</si>
  <si>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</si>
  <si>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</si>
  <si>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</si>
  <si>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</si>
  <si>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</si>
  <si>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</si>
  <si>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</si>
  <si>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</si>
  <si>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</si>
  <si>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</si>
  <si>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</si>
  <si>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</si>
  <si>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</si>
  <si>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</si>
  <si>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</si>
  <si>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</si>
  <si>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</si>
  <si>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</si>
  <si>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</si>
  <si>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</si>
  <si>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</si>
  <si>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</si>
  <si>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</si>
  <si>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</si>
  <si>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</si>
  <si>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</si>
  <si>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</si>
  <si>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</si>
  <si>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</si>
  <si>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</si>
  <si>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</si>
  <si>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</si>
  <si>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</si>
  <si>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</si>
  <si>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</si>
  <si>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</si>
  <si>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</si>
  <si>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</si>
  <si>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</si>
  <si>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</si>
  <si>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</si>
  <si>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</si>
  <si>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</si>
  <si>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</si>
  <si>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</si>
  <si>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</si>
  <si>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</si>
  <si>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</si>
  <si>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</si>
  <si>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</si>
  <si>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</si>
  <si>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</si>
  <si>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</si>
  <si>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</si>
  <si>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</si>
  <si>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</si>
  <si>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</si>
  <si>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</si>
  <si>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</si>
  <si>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</si>
  <si>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</si>
  <si>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</si>
  <si>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</si>
  <si>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</si>
  <si>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</si>
  <si>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</si>
  <si>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</si>
  <si>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</si>
  <si>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</si>
  <si>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</si>
  <si>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</si>
  <si>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</si>
  <si>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</si>
  <si>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</si>
  <si>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</si>
  <si>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</si>
  <si>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</si>
  <si>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</si>
  <si>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</si>
  <si>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</si>
  <si>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</si>
  <si>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</si>
  <si>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</si>
  <si>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</si>
  <si>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</si>
  <si>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</si>
  <si>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</si>
  <si>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</si>
  <si>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</si>
  <si>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</si>
  <si>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</si>
  <si>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</si>
  <si>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</si>
  <si>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</si>
  <si>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</si>
  <si>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</si>
  <si>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</si>
  <si>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</si>
  <si>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</si>
  <si>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</si>
  <si>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</si>
  <si>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</si>
  <si>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</si>
  <si>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</si>
  <si>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</si>
  <si>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</si>
  <si>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</si>
  <si>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</si>
  <si>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</si>
  <si>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</si>
  <si>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</si>
  <si>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</si>
  <si>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</si>
  <si>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</si>
  <si>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</si>
  <si>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</si>
  <si>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</si>
  <si>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</si>
  <si>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</si>
  <si>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</si>
  <si>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</si>
  <si>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</si>
  <si>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</si>
  <si>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</si>
  <si>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</si>
  <si>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</si>
  <si>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</si>
  <si>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</si>
  <si>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</si>
  <si>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</si>
  <si>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</si>
  <si>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</si>
  <si>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</si>
  <si>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</si>
  <si>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</si>
  <si>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</si>
  <si>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</si>
  <si>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</si>
  <si>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</si>
  <si>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</si>
  <si>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</si>
  <si>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</si>
  <si>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</si>
  <si>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</si>
  <si>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</si>
  <si>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</si>
  <si>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</si>
  <si>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</si>
  <si>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</si>
  <si>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</si>
  <si>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</si>
  <si>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</si>
  <si>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</si>
  <si>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</si>
  <si>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</si>
  <si>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</si>
  <si>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</si>
  <si>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</si>
  <si>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</si>
  <si>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</si>
  <si>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</si>
  <si>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</si>
  <si>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</si>
  <si>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</si>
  <si>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</si>
  <si>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</si>
  <si>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</si>
  <si>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</si>
  <si>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</si>
  <si>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</si>
  <si>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</si>
  <si>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</si>
  <si>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</si>
  <si>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</si>
  <si>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</si>
  <si>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</si>
  <si>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</si>
  <si>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</si>
  <si>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</si>
  <si>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</si>
  <si>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</si>
  <si>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</si>
  <si>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</si>
  <si>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</si>
  <si>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</si>
  <si>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</si>
  <si>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</si>
  <si>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</si>
  <si>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</si>
  <si>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</si>
  <si>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</si>
  <si>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</si>
  <si>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</si>
  <si>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</si>
  <si>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</si>
  <si>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</si>
  <si>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</si>
  <si>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</si>
  <si>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</si>
  <si>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</si>
  <si>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</si>
  <si>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</si>
  <si>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</si>
  <si>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</si>
  <si>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</si>
  <si>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</si>
  <si>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</si>
  <si>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</si>
  <si>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</si>
  <si>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</si>
  <si>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</si>
  <si>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</si>
  <si>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</si>
  <si>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</si>
  <si>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</si>
  <si>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</si>
  <si>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</si>
  <si>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</si>
  <si>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</si>
  <si>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</si>
  <si>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</si>
  <si>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</si>
  <si>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</si>
  <si>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</si>
  <si>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</si>
  <si>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</si>
  <si>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</si>
  <si>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</si>
  <si>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</si>
  <si>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</si>
  <si>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</si>
  <si>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</si>
  <si>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</si>
  <si>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</si>
  <si>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</si>
  <si>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</si>
  <si>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</si>
  <si>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</si>
  <si>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</si>
  <si>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</si>
  <si>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</si>
  <si>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</si>
  <si>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</si>
  <si>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</si>
  <si>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</si>
  <si>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</si>
  <si>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</si>
  <si>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</si>
  <si>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</si>
  <si>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</si>
  <si>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</si>
  <si>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</si>
  <si>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</si>
  <si>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</si>
  <si>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</si>
  <si>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</si>
  <si>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</si>
  <si>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</si>
  <si>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</si>
  <si>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</si>
  <si>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</si>
  <si>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</si>
  <si>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</si>
  <si>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</si>
  <si>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</si>
  <si>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</si>
  <si>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</si>
  <si>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</si>
  <si>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</si>
  <si>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</si>
  <si>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</si>
  <si>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</si>
  <si>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</si>
  <si>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</si>
  <si>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</si>
  <si>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</si>
  <si>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</si>
  <si>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</si>
  <si>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</si>
  <si>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</si>
  <si>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</si>
  <si>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</si>
  <si>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</si>
  <si>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</si>
  <si>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</si>
  <si>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</si>
  <si>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</si>
  <si>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</si>
  <si>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</si>
  <si>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</si>
  <si>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</si>
  <si>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</si>
  <si>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</si>
  <si>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</si>
  <si>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</si>
  <si>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</si>
  <si>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</si>
  <si>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</si>
  <si>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</si>
  <si>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</si>
  <si>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</si>
  <si>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</si>
  <si>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</si>
  <si>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</si>
  <si>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</si>
  <si>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</si>
  <si>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</si>
  <si>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</si>
  <si>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</si>
  <si>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</si>
  <si>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</si>
  <si>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</si>
  <si>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</si>
  <si>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</si>
  <si>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</si>
  <si>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</si>
  <si>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</si>
  <si>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</si>
  <si>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</si>
  <si>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</si>
  <si>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</si>
  <si>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</si>
  <si>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</si>
  <si>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</si>
  <si>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</si>
  <si>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</si>
  <si>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</si>
  <si>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</si>
  <si>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</si>
  <si>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</si>
  <si>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</si>
  <si>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</si>
  <si>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</si>
  <si>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</si>
  <si>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</si>
  <si>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</si>
  <si>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</si>
  <si>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</si>
  <si>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</si>
  <si>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</si>
  <si>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</si>
  <si>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</si>
  <si>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</si>
  <si>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</si>
  <si>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</si>
  <si>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</si>
  <si>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</si>
  <si>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</si>
  <si>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</si>
  <si>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</si>
  <si>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</si>
  <si>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</si>
  <si>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</si>
  <si>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</si>
  <si>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</si>
  <si>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</si>
  <si>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</si>
  <si>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</si>
  <si>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</si>
  <si>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</si>
  <si>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</si>
  <si>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</si>
  <si>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</si>
  <si>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</si>
  <si>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</si>
  <si>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</si>
  <si>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</si>
  <si>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</si>
  <si>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</si>
  <si>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</si>
  <si>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</si>
  <si>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</si>
  <si>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</si>
  <si>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</si>
  <si>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</si>
  <si>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</si>
  <si>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</si>
  <si>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</si>
  <si>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</si>
  <si>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</si>
  <si>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</si>
  <si>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</si>
  <si>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</si>
  <si>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</si>
  <si>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</si>
  <si>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</si>
  <si>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</si>
  <si>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</si>
  <si>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</si>
  <si>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</si>
  <si>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</si>
  <si>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</si>
  <si>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</si>
  <si>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</si>
  <si>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</si>
  <si>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</si>
  <si>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</si>
  <si>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</si>
  <si>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</si>
  <si>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</si>
  <si>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</si>
  <si>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</si>
  <si>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</si>
  <si>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</si>
  <si>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</si>
  <si>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</si>
  <si>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</si>
  <si>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</si>
  <si>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</si>
  <si>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</si>
  <si>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</si>
  <si>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</si>
  <si>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</si>
  <si>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</si>
  <si>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</si>
  <si>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</si>
  <si>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</si>
  <si>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</si>
  <si>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</si>
  <si>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</si>
  <si>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</si>
  <si>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</si>
  <si>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</si>
  <si>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</si>
  <si>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</si>
  <si>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</si>
  <si>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</si>
  <si>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</si>
  <si>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</si>
  <si>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</si>
  <si>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</si>
  <si>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</si>
  <si>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</si>
  <si>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</si>
  <si>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</si>
  <si>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</si>
  <si>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</si>
  <si>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</si>
  <si>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</si>
  <si>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</si>
  <si>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</si>
  <si>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</si>
  <si>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</si>
  <si>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</si>
  <si>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</si>
  <si>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</si>
  <si>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</si>
  <si>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</si>
  <si>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</si>
  <si>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</si>
  <si>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</si>
  <si>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</si>
  <si>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</si>
  <si>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</si>
  <si>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</si>
  <si>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</si>
  <si>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</si>
  <si>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</si>
  <si>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</si>
  <si>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</si>
  <si>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</si>
  <si>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</si>
  <si>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</si>
  <si>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</si>
  <si>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</si>
  <si>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</si>
  <si>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</si>
  <si>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</si>
  <si>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</si>
  <si>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</si>
  <si>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</si>
  <si>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</si>
  <si>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</si>
  <si>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</si>
  <si>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</si>
  <si>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</si>
  <si>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</si>
  <si>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</si>
  <si>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</si>
  <si>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</si>
  <si>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</si>
  <si>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</si>
  <si>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</si>
  <si>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</si>
  <si>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</si>
  <si>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</si>
  <si>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</si>
  <si>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</si>
  <si>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</si>
  <si>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</si>
  <si>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</si>
  <si>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</si>
  <si>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</si>
  <si>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</si>
  <si>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</si>
  <si>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</si>
  <si>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</si>
  <si>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</si>
  <si>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</si>
  <si>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</si>
  <si>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</si>
  <si>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</si>
  <si>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</si>
  <si>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</si>
  <si>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</si>
  <si>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</si>
  <si>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</si>
  <si>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</si>
  <si>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</si>
  <si>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</si>
  <si>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</si>
  <si>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</si>
  <si>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</si>
  <si>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</si>
  <si>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</si>
  <si>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</si>
  <si>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</si>
  <si>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</si>
  <si>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</si>
  <si>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</si>
  <si>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</si>
  <si>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</si>
  <si>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</si>
  <si>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</si>
  <si>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</si>
  <si>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</si>
  <si>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</si>
  <si>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</si>
  <si>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</si>
  <si>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</si>
  <si>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</si>
  <si>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</si>
  <si>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</si>
  <si>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</si>
  <si>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</si>
  <si>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</si>
  <si>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</si>
  <si>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</si>
  <si>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</si>
  <si>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</si>
  <si>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</si>
  <si>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</si>
  <si>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</si>
  <si>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</si>
  <si>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</si>
  <si>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</si>
  <si>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</si>
  <si>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</si>
  <si>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</si>
  <si>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</si>
  <si>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</si>
  <si>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</si>
  <si>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</si>
  <si>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</si>
  <si>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</si>
  <si>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</si>
  <si>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</si>
  <si>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</si>
  <si>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</si>
  <si>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</si>
  <si>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</si>
  <si>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</si>
  <si>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</si>
  <si>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</si>
  <si>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</si>
  <si>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</si>
  <si>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</si>
  <si>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</si>
  <si>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</si>
  <si>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</si>
  <si>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</si>
  <si>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</si>
  <si>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</si>
  <si>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</si>
  <si>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</si>
  <si>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</si>
  <si>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</si>
  <si>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</si>
  <si>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</si>
  <si>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</si>
  <si>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</si>
  <si>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</si>
  <si>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</si>
  <si>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</si>
  <si>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</si>
  <si>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</si>
  <si>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</si>
  <si>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</si>
  <si>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</si>
  <si>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</si>
  <si>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</si>
  <si>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</si>
  <si>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</si>
  <si>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</si>
  <si>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</si>
  <si>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</si>
  <si>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</si>
  <si>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</si>
  <si>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</si>
  <si>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</si>
  <si>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</si>
  <si>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</si>
  <si>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</si>
  <si>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</si>
  <si>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</si>
  <si>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</si>
  <si>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</si>
  <si>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</si>
  <si>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</si>
  <si>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</si>
  <si>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</si>
  <si>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</si>
  <si>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</si>
  <si>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</si>
  <si>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</si>
  <si>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</si>
  <si>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</si>
  <si>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</si>
  <si>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</si>
  <si>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</si>
  <si>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</si>
  <si>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</si>
  <si>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</si>
  <si>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</si>
  <si>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</si>
  <si>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</si>
  <si>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</si>
  <si>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</si>
  <si>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</si>
  <si>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</si>
  <si>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</si>
  <si>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</si>
  <si>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</si>
  <si>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</si>
  <si>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</si>
  <si>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</si>
  <si>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</si>
  <si>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</si>
  <si>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</si>
  <si>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</si>
  <si>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</si>
  <si>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</si>
  <si>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</si>
  <si>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</si>
  <si>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</si>
  <si>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</si>
  <si>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</si>
  <si>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</si>
  <si>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</si>
  <si>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</si>
  <si>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</si>
  <si>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</si>
  <si>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</si>
  <si>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</si>
  <si>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</si>
  <si>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</si>
  <si>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</si>
  <si>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</si>
  <si>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</si>
  <si>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</si>
  <si>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</si>
  <si>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</si>
  <si>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</si>
  <si>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</si>
  <si>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</si>
  <si>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</si>
  <si>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</si>
  <si>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</si>
  <si>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</si>
  <si>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</si>
  <si>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</si>
  <si>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</si>
  <si>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</si>
  <si>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</si>
  <si>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</si>
  <si>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</si>
  <si>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</si>
  <si>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</si>
  <si>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</si>
  <si>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</si>
  <si>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</si>
  <si>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</si>
  <si>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</si>
  <si>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</si>
  <si>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</si>
  <si>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</si>
  <si>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</si>
  <si>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</si>
  <si>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</si>
  <si>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</si>
  <si>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</si>
  <si>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</si>
  <si>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</si>
  <si>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</si>
  <si>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</si>
  <si>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</si>
  <si>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</si>
  <si>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</si>
  <si>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</si>
  <si>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</si>
  <si>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</si>
  <si>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</si>
  <si>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</si>
  <si>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</si>
  <si>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</si>
  <si>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</si>
  <si>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</si>
  <si>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</si>
  <si>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</si>
  <si>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</si>
  <si>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</si>
  <si>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</si>
  <si>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</si>
  <si>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</si>
  <si>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</si>
  <si>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</si>
  <si>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</si>
  <si>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</si>
  <si>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</si>
  <si>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</si>
  <si>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</si>
  <si>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</si>
  <si>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</si>
  <si>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</si>
  <si>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</si>
  <si>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</si>
  <si>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</si>
  <si>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</si>
  <si>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</si>
  <si>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</si>
  <si>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</si>
  <si>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</si>
  <si>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</si>
  <si>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</si>
  <si>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</si>
  <si>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</si>
  <si>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</si>
  <si>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</si>
  <si>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</si>
  <si>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</si>
  <si>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</si>
  <si>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</si>
  <si>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</si>
  <si>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</si>
  <si>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</si>
  <si>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</si>
  <si>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</si>
  <si>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</si>
  <si>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</si>
  <si>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</si>
  <si>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</si>
  <si>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</si>
  <si>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</si>
  <si>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</si>
  <si>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</si>
  <si>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</si>
  <si>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</si>
  <si>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</si>
  <si>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</si>
  <si>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</si>
  <si>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</si>
  <si>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</si>
  <si>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</si>
  <si>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</si>
  <si>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</si>
  <si>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</si>
  <si>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</si>
  <si>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</si>
  <si>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</si>
  <si>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</si>
  <si>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</si>
  <si>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</si>
  <si>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</si>
  <si>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</si>
  <si>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</si>
  <si>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</si>
  <si>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</si>
  <si>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</si>
  <si>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</si>
  <si>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</si>
  <si>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</si>
  <si>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</si>
  <si>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</si>
  <si>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</si>
  <si>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</si>
  <si>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</si>
  <si>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</si>
  <si>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</si>
  <si>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</si>
  <si>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</si>
  <si>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</si>
  <si>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</si>
  <si>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</si>
  <si>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</si>
  <si>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</si>
  <si>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</si>
  <si>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</si>
  <si>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</si>
  <si>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</si>
  <si>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</si>
  <si>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</si>
  <si>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</si>
  <si>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</si>
  <si>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</si>
  <si>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</si>
  <si>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</si>
  <si>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</si>
  <si>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</si>
  <si>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</si>
  <si>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</si>
  <si>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</si>
  <si>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</si>
  <si>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</si>
  <si>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</si>
  <si>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</si>
  <si>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</si>
  <si>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</si>
  <si>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</si>
  <si>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</si>
  <si>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</si>
  <si>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</si>
  <si>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</si>
  <si>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</si>
  <si>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</si>
  <si>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</si>
  <si>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</si>
  <si>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</si>
  <si>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</si>
  <si>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</si>
  <si>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</si>
  <si>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</si>
  <si>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</si>
  <si>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</si>
  <si>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</si>
  <si>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</si>
  <si>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</si>
  <si>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</si>
  <si>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</si>
  <si>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</si>
  <si>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</si>
  <si>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</si>
  <si>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</si>
  <si>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</si>
  <si>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</si>
  <si>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</si>
  <si>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</si>
  <si>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</si>
  <si>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</si>
  <si>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</si>
  <si>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</si>
  <si>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</si>
  <si>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</si>
  <si>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</si>
  <si>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</si>
  <si>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</si>
  <si>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</si>
  <si>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</si>
  <si>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</si>
  <si>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</si>
  <si>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</si>
  <si>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</si>
  <si>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</si>
  <si>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</si>
  <si>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</si>
  <si>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</si>
  <si>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</si>
  <si>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</si>
  <si>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</si>
  <si>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</si>
  <si>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</si>
  <si>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</si>
  <si>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</si>
  <si>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</si>
  <si>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</si>
  <si>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</si>
  <si>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</si>
  <si>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</si>
  <si>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</si>
  <si>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</si>
  <si>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</si>
  <si>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</si>
  <si>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</si>
  <si>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</si>
  <si>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</si>
  <si>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</si>
  <si>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</si>
  <si>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</si>
  <si>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</si>
  <si>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</si>
  <si>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</si>
  <si>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</si>
  <si>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</si>
  <si>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</si>
  <si>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</si>
  <si>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</si>
  <si>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</si>
  <si>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</si>
  <si>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</si>
  <si>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</si>
  <si>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</si>
  <si>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</si>
  <si>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</si>
  <si>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</si>
  <si>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</si>
  <si>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</si>
  <si>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</si>
  <si>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</si>
  <si>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</si>
  <si>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</si>
  <si>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</si>
  <si>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</si>
  <si>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</si>
  <si>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</si>
  <si>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</si>
  <si>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</si>
  <si>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</si>
  <si>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</si>
  <si>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</si>
  <si>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</si>
  <si>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</si>
  <si>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</si>
  <si>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</si>
  <si>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</si>
  <si>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</si>
  <si>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</si>
  <si>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</si>
  <si>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</si>
  <si>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</si>
  <si>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</si>
  <si>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</si>
  <si>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</si>
  <si>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</si>
  <si>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</si>
  <si>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</si>
  <si>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</si>
  <si>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</si>
  <si>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</si>
  <si>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</si>
  <si>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</si>
  <si>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</si>
  <si>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</si>
  <si>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</si>
  <si>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</si>
  <si>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</si>
  <si>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</si>
  <si>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</si>
  <si>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</si>
  <si>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</si>
  <si>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</si>
  <si>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</si>
  <si>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</si>
  <si>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</si>
  <si>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</si>
  <si>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</si>
  <si>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</si>
  <si>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</si>
  <si>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</si>
  <si>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</si>
  <si>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</si>
  <si>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</si>
  <si>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</si>
  <si>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</si>
  <si>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</si>
  <si>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</si>
  <si>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</si>
  <si>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</si>
  <si>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</si>
  <si>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</si>
  <si>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</si>
  <si>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</si>
  <si>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</si>
  <si>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</si>
  <si>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</si>
  <si>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</si>
  <si>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</si>
  <si>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</si>
  <si>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</si>
  <si>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</si>
  <si>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</si>
  <si>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</si>
  <si>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</si>
  <si>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</si>
  <si>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</si>
  <si>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</si>
  <si>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</si>
  <si>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</si>
  <si>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</si>
  <si>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</si>
  <si>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</si>
  <si>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</si>
  <si>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</si>
  <si>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</si>
  <si>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</si>
  <si>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</si>
  <si>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</si>
  <si>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</si>
  <si>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</si>
  <si>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</si>
  <si>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</si>
  <si>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</si>
  <si>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</si>
  <si>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</si>
  <si>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</si>
  <si>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</si>
  <si>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</si>
  <si>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</si>
  <si>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</si>
  <si>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</si>
  <si>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</si>
  <si>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</si>
  <si>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</si>
  <si>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</si>
  <si>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</si>
  <si>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</si>
  <si>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</si>
  <si>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</si>
  <si>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</si>
  <si>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</si>
  <si>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</si>
  <si>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</si>
  <si>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</si>
  <si>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</si>
  <si>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</si>
  <si>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</si>
  <si>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</si>
  <si>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</si>
  <si>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</si>
  <si>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</si>
  <si>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</si>
  <si>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</si>
  <si>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</si>
  <si>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</si>
  <si>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</si>
  <si>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</si>
  <si>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</si>
  <si>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</si>
  <si>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</si>
  <si>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</si>
  <si>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</si>
  <si>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</si>
  <si>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</si>
  <si>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</si>
  <si>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</si>
  <si>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</si>
  <si>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</si>
  <si>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</si>
  <si>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</si>
  <si>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</si>
  <si>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</si>
  <si>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</si>
  <si>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</si>
  <si>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</si>
  <si>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</si>
  <si>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</si>
  <si>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</si>
  <si>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</si>
  <si>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</si>
  <si>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</si>
  <si>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</si>
  <si>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</si>
  <si>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</si>
  <si>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</si>
  <si>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</si>
  <si>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</si>
  <si>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</si>
  <si>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</si>
  <si>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</si>
  <si>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</si>
  <si>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</si>
  <si>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</si>
  <si>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</si>
  <si>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</si>
  <si>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</si>
  <si>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</si>
  <si>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</si>
  <si>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</si>
  <si>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</si>
  <si>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</si>
  <si>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</si>
  <si>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</si>
  <si>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</si>
  <si>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</si>
  <si>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</si>
  <si>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</si>
  <si>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</si>
  <si>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</si>
  <si>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</si>
  <si>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</si>
  <si>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</si>
  <si>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</si>
  <si>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</si>
  <si>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</si>
  <si>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</si>
  <si>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</si>
  <si>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</si>
  <si>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</si>
  <si>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</si>
  <si>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</si>
  <si>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</si>
  <si>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</si>
  <si>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</si>
  <si>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</si>
  <si>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</si>
  <si>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</si>
  <si>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</si>
  <si>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</si>
  <si>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</si>
  <si>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</si>
  <si>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</si>
  <si>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</si>
  <si>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</si>
  <si>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</si>
  <si>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</si>
  <si>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</si>
  <si>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</si>
  <si>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</si>
  <si>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</si>
  <si>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</si>
  <si>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</si>
  <si>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</si>
  <si>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</si>
  <si>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</si>
  <si>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</si>
  <si>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</si>
  <si>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</si>
  <si>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</si>
  <si>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</si>
  <si>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</si>
  <si>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</si>
  <si>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</si>
  <si>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</si>
  <si>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</si>
  <si>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</si>
  <si>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</si>
  <si>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</si>
  <si>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</si>
  <si>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</si>
  <si>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</si>
  <si>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</si>
  <si>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</si>
  <si>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</si>
  <si>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</si>
  <si>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</si>
  <si>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</si>
  <si>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</si>
  <si>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</si>
  <si>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</si>
  <si>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</si>
  <si>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</si>
  <si>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</si>
  <si>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</si>
  <si>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</si>
  <si>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</si>
  <si>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</si>
  <si>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</si>
  <si>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</si>
  <si>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</si>
  <si>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</si>
  <si>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</si>
  <si>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</si>
  <si>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</si>
  <si>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</si>
  <si>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</si>
  <si>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</si>
  <si>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</si>
  <si>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</si>
  <si>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</si>
  <si>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</si>
  <si>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</si>
  <si>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</si>
  <si>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</si>
  <si>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</si>
  <si>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</si>
  <si>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</si>
  <si>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</si>
  <si>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</si>
  <si>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</si>
  <si>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</si>
  <si>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</si>
  <si>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</si>
  <si>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</si>
  <si>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</si>
  <si>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</si>
  <si>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</si>
  <si>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</si>
  <si>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</si>
  <si>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</si>
  <si>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</si>
  <si>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</si>
  <si>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</si>
  <si>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</si>
  <si>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</si>
  <si>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</si>
  <si>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</si>
  <si>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</si>
  <si>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</si>
  <si>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</si>
  <si>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</si>
  <si>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</si>
  <si>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</si>
  <si>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</si>
  <si>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</si>
  <si>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</si>
  <si>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</si>
  <si>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</si>
  <si>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</si>
  <si>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</si>
  <si>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</si>
  <si>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</si>
  <si>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</si>
  <si>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</si>
  <si>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</si>
  <si>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</si>
  <si>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</si>
  <si>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</si>
  <si>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</si>
  <si>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</si>
  <si>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</si>
  <si>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</si>
  <si>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</si>
  <si>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</si>
  <si>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</si>
  <si>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</si>
  <si>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</si>
  <si>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</si>
  <si>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</si>
  <si>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</si>
  <si>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</si>
  <si>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</si>
  <si>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</si>
  <si>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</si>
  <si>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</si>
  <si>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</si>
  <si>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</si>
  <si>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</si>
  <si>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</si>
  <si>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</si>
  <si>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</si>
  <si>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</si>
  <si>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</si>
  <si>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</si>
  <si>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</si>
  <si>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</si>
  <si>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</si>
  <si>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</si>
  <si>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</si>
  <si>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</si>
  <si>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</si>
  <si>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</si>
  <si>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</si>
  <si>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</si>
  <si>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</si>
  <si>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</si>
  <si>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</si>
  <si>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</si>
  <si>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</si>
  <si>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</si>
  <si>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</si>
  <si>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</si>
  <si>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</si>
  <si>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</si>
  <si>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</si>
  <si>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</si>
  <si>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</si>
  <si>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</si>
  <si>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</si>
  <si>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</si>
  <si>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</si>
  <si>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</si>
  <si>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</si>
  <si>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</si>
  <si>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</si>
  <si>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</si>
  <si>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</si>
  <si>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</si>
  <si>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</si>
  <si>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</si>
  <si>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</si>
  <si>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</si>
  <si>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</si>
  <si>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</si>
  <si>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</si>
  <si>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</si>
  <si>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</si>
  <si>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</si>
  <si>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</si>
  <si>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</si>
  <si>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</si>
  <si>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</si>
  <si>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</si>
  <si>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</si>
  <si>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</si>
  <si>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</si>
  <si>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</si>
  <si>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</si>
  <si>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</si>
  <si>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</si>
  <si>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</si>
  <si>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</si>
  <si>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</si>
  <si>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</si>
  <si>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</si>
  <si>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</si>
  <si>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</si>
  <si>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</si>
  <si>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</si>
  <si>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</si>
  <si>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</si>
  <si>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</si>
  <si>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</si>
  <si>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</si>
  <si>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</si>
  <si>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</si>
  <si>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</si>
  <si>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</si>
  <si>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</si>
  <si>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</si>
  <si>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</si>
  <si>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</si>
  <si>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</si>
  <si>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</si>
  <si>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</si>
  <si>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</si>
  <si>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</si>
  <si>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</si>
  <si>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</si>
  <si>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</si>
  <si>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</si>
  <si>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</si>
  <si>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</si>
  <si>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</si>
  <si>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</si>
  <si>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</si>
  <si>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</si>
  <si>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</si>
  <si>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</si>
  <si>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</si>
  <si>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</si>
  <si>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</si>
  <si>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</si>
  <si>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</si>
  <si>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</si>
  <si>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</si>
  <si>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</si>
  <si>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</si>
  <si>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</si>
  <si>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</si>
  <si>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</si>
  <si>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</si>
  <si>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</si>
  <si>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</si>
  <si>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</si>
  <si>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</si>
  <si>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</si>
  <si>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</si>
  <si>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</si>
  <si>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</si>
  <si>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</si>
  <si>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</si>
  <si>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</si>
  <si>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</si>
  <si>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</si>
  <si>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</si>
  <si>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</si>
  <si>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</si>
  <si>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</si>
  <si>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</si>
  <si>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</si>
  <si>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</si>
  <si>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</si>
  <si>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</si>
  <si>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</si>
  <si>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</si>
  <si>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</si>
  <si>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</si>
  <si>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</si>
  <si>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</si>
  <si>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</si>
  <si>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</si>
  <si>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</si>
  <si>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</si>
  <si>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</si>
  <si>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</si>
  <si>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</si>
  <si>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</si>
  <si>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</si>
  <si>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</si>
  <si>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</si>
  <si>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</si>
  <si>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</si>
  <si>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</si>
  <si>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</si>
  <si>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</si>
  <si>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</si>
  <si>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</si>
  <si>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</si>
  <si>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</si>
  <si>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</si>
  <si>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</si>
  <si>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</si>
  <si>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</si>
  <si>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</si>
  <si>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</si>
  <si>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</si>
  <si>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</si>
  <si>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</si>
  <si>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</si>
  <si>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</si>
  <si>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</si>
  <si>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</si>
  <si>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</si>
  <si>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</si>
  <si>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</si>
  <si>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</si>
  <si>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</si>
  <si>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</si>
  <si>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</si>
  <si>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</si>
  <si>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</si>
  <si>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</si>
  <si>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</si>
  <si>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</si>
  <si>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</si>
  <si>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</si>
  <si>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</si>
  <si>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</si>
  <si>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</si>
  <si>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</si>
  <si>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</si>
  <si>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</si>
  <si>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</si>
  <si>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</si>
  <si>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</si>
  <si>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</si>
  <si>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</si>
  <si>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</si>
  <si>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</si>
  <si>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</si>
  <si>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</si>
  <si>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</si>
  <si>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</si>
  <si>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</si>
  <si>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</si>
  <si>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</si>
  <si>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</si>
  <si>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</si>
  <si>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</si>
  <si>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</si>
  <si>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</si>
  <si>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</si>
  <si>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</si>
  <si>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</si>
  <si>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</si>
  <si>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</si>
  <si>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</si>
  <si>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</si>
  <si>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</si>
  <si>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</si>
  <si>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</si>
  <si>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</si>
  <si>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</si>
  <si>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</si>
  <si>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</si>
  <si>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</si>
  <si>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</si>
  <si>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</si>
  <si>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</si>
  <si>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</si>
  <si>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</si>
  <si>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</si>
  <si>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</si>
  <si>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</si>
  <si>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</si>
  <si>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</si>
  <si>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</si>
  <si>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</si>
  <si>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</si>
  <si>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</si>
  <si>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</si>
  <si>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</si>
  <si>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</si>
  <si>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</si>
  <si>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</si>
  <si>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</si>
  <si>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</si>
  <si>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</si>
  <si>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</si>
  <si>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</si>
  <si>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</si>
  <si>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</si>
  <si>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</si>
  <si>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</si>
  <si>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</si>
  <si>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</si>
  <si>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</si>
  <si>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</si>
  <si>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</si>
  <si>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</si>
  <si>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</si>
  <si>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</si>
  <si>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</si>
  <si>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</si>
  <si>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</si>
  <si>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</si>
  <si>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</si>
  <si>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</si>
  <si>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</si>
  <si>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</si>
  <si>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</si>
  <si>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</si>
  <si>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</si>
  <si>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</si>
  <si>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</si>
  <si>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</si>
  <si>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</si>
  <si>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</si>
  <si>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</si>
  <si>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</si>
  <si>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</si>
  <si>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</si>
  <si>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</si>
  <si>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</si>
  <si>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</si>
  <si>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</si>
  <si>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</si>
  <si>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</si>
  <si>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</si>
  <si>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</si>
  <si>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</si>
  <si>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</si>
  <si>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</si>
  <si>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</si>
  <si>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</si>
  <si>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</si>
  <si>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</si>
  <si>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</si>
  <si>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</si>
  <si>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</si>
  <si>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</si>
  <si>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</si>
  <si>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</si>
  <si>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</si>
  <si>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</si>
  <si>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</si>
  <si>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</si>
  <si>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</si>
  <si>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</si>
  <si>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</si>
  <si>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</si>
  <si>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</si>
  <si>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</si>
  <si>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</si>
  <si>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</si>
  <si>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</si>
  <si>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</si>
  <si>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</si>
  <si>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</si>
  <si>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</si>
  <si>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</si>
  <si>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</si>
  <si>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</si>
  <si>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</si>
  <si>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</si>
  <si>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</si>
  <si>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</si>
  <si>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</si>
  <si>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</si>
  <si>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</si>
  <si>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</si>
  <si>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</si>
  <si>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</si>
  <si>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</si>
  <si>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</si>
  <si>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</si>
  <si>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</si>
  <si>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</si>
  <si>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</si>
  <si>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</si>
  <si>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</si>
  <si>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</si>
  <si>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</si>
  <si>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</si>
  <si>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</si>
  <si>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</si>
  <si>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</si>
  <si>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</si>
  <si>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</si>
  <si>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</si>
  <si>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</si>
  <si>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</si>
  <si>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</si>
  <si>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</si>
  <si>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</si>
  <si>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</si>
  <si>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</si>
  <si>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</si>
  <si>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</si>
  <si>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</si>
  <si>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</si>
  <si>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</si>
  <si>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</si>
  <si>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</si>
  <si>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</si>
  <si>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</si>
  <si>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</si>
  <si>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</si>
  <si>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</si>
  <si>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</si>
  <si>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</si>
  <si>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</si>
  <si>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</si>
  <si>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</si>
  <si>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</si>
  <si>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</si>
  <si>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</si>
  <si>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</si>
  <si>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</si>
  <si>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</si>
  <si>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</si>
  <si>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</si>
  <si>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</si>
  <si>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</si>
  <si>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</si>
  <si>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</si>
  <si>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</si>
  <si>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</si>
  <si>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</si>
  <si>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</si>
  <si>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</si>
  <si>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</si>
  <si>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</si>
  <si>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</si>
  <si>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</si>
  <si>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</si>
  <si>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</si>
  <si>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</si>
  <si>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</si>
  <si>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</si>
  <si>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</si>
  <si>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</si>
  <si>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</si>
  <si>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</si>
  <si>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</si>
  <si>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</si>
  <si>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</si>
  <si>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</si>
  <si>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</si>
  <si>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</si>
  <si>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</si>
  <si>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</si>
  <si>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</si>
  <si>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</si>
  <si>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</si>
  <si>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</si>
  <si>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</si>
  <si>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</si>
  <si>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</si>
  <si>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</si>
  <si>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</si>
  <si>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</si>
  <si>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</si>
  <si>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</si>
  <si>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</si>
  <si>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</si>
  <si>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</si>
  <si>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</si>
  <si>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</si>
  <si>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</si>
  <si>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</si>
  <si>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</si>
  <si>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</si>
  <si>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</si>
  <si>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</si>
  <si>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</si>
  <si>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</si>
  <si>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</si>
  <si>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</si>
  <si>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</si>
  <si>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</si>
  <si>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</si>
  <si>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</si>
  <si>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</si>
  <si>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</si>
  <si>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</si>
  <si>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</si>
  <si>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</si>
  <si>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</si>
  <si>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</si>
  <si>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</si>
  <si>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</si>
  <si>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</si>
  <si>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</si>
  <si>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</si>
  <si>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</si>
  <si>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</si>
  <si>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</si>
  <si>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</si>
  <si>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</si>
  <si>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</si>
  <si>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</si>
  <si>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</si>
  <si>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</si>
  <si>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</si>
  <si>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</si>
  <si>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</si>
  <si>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</si>
  <si>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</si>
  <si>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</si>
  <si>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</si>
  <si>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</si>
  <si>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</si>
  <si>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</si>
  <si>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</si>
  <si>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</si>
  <si>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</si>
  <si>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</si>
  <si>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</si>
  <si>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</si>
  <si>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</si>
  <si>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</si>
  <si>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</si>
  <si>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</si>
  <si>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</si>
  <si>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</si>
  <si>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</si>
  <si>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</si>
  <si>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</si>
  <si>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</si>
  <si>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</si>
  <si>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</si>
  <si>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</si>
  <si>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</si>
  <si>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</si>
  <si>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</si>
  <si>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</si>
  <si>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</si>
  <si>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</si>
  <si>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</si>
  <si>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</si>
  <si>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</si>
  <si>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</si>
  <si>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</si>
  <si>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</si>
  <si>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</si>
  <si>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</si>
  <si>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</si>
  <si>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</si>
  <si>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</si>
  <si>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</si>
  <si>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</si>
  <si>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</si>
  <si>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</si>
  <si>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</si>
  <si>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</si>
  <si>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</si>
  <si>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</si>
  <si>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</si>
  <si>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</si>
  <si>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</si>
  <si>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</si>
  <si>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</si>
  <si>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</si>
  <si>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</si>
  <si>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</si>
  <si>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</si>
  <si>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</si>
  <si>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</si>
  <si>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</si>
  <si>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</si>
  <si>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</si>
  <si>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</si>
  <si>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</si>
  <si>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</si>
  <si>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</si>
  <si>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</si>
  <si>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</si>
  <si>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</si>
  <si>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</si>
  <si>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</si>
  <si>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</si>
  <si>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</si>
  <si>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</si>
  <si>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</si>
  <si>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</si>
  <si>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</si>
  <si>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</si>
  <si>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</si>
  <si>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</si>
  <si>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</si>
  <si>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</si>
  <si>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</si>
  <si>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</si>
  <si>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</si>
  <si>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</si>
  <si>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</si>
  <si>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</si>
  <si>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</si>
  <si>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</si>
  <si>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</si>
  <si>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</si>
  <si>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</si>
  <si>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</si>
  <si>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</si>
  <si>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</si>
  <si>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</si>
  <si>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</si>
  <si>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</si>
  <si>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</si>
  <si>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</si>
  <si>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</si>
  <si>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</si>
  <si>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</si>
  <si>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</si>
  <si>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</si>
  <si>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</si>
  <si>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</si>
  <si>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</si>
  <si>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</si>
  <si>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</si>
  <si>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</si>
  <si>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</si>
  <si>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</si>
  <si>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</si>
  <si>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</si>
  <si>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</si>
  <si>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</si>
  <si>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</si>
  <si>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</si>
  <si>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</si>
  <si>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</si>
  <si>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</si>
  <si>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</si>
  <si>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</si>
  <si>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</si>
  <si>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</si>
  <si>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</si>
  <si>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</si>
  <si>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</si>
  <si>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</si>
  <si>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</si>
  <si>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</si>
  <si>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</si>
  <si>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</si>
  <si>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</si>
  <si>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</si>
  <si>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</si>
  <si>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</si>
  <si>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</si>
  <si>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</si>
  <si>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</si>
  <si>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</si>
  <si>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</si>
  <si>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</si>
  <si>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</si>
  <si>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</si>
  <si>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</si>
  <si>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</si>
  <si>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</si>
  <si>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</si>
  <si>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</si>
  <si>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</si>
  <si>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</si>
  <si>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</si>
  <si>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</si>
  <si>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</si>
  <si>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</si>
  <si>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</si>
  <si>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</si>
  <si>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</si>
  <si>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</si>
  <si>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</si>
  <si>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</si>
  <si>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</si>
  <si>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</si>
  <si>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</si>
  <si>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</si>
  <si>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</si>
  <si>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</si>
  <si>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</si>
  <si>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</si>
  <si>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</si>
  <si>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</si>
  <si>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</si>
  <si>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</si>
  <si>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</si>
  <si>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</si>
  <si>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</si>
  <si>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</si>
  <si>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</si>
  <si>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</si>
  <si>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</si>
  <si>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</si>
  <si>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</si>
  <si>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</si>
  <si>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</si>
  <si>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</si>
  <si>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</si>
  <si>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</si>
  <si>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</si>
  <si>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</si>
  <si>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</si>
  <si>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</si>
  <si>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</si>
  <si>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</si>
  <si>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</si>
  <si>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</si>
  <si>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</si>
  <si>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</si>
  <si>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</si>
  <si>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</si>
  <si>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</si>
  <si>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</si>
  <si>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</si>
  <si>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</si>
  <si>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</si>
  <si>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</si>
  <si>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</si>
  <si>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</si>
  <si>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</si>
  <si>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</si>
  <si>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</si>
  <si>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</si>
  <si>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</si>
  <si>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</si>
  <si>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</si>
  <si>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</si>
  <si>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</si>
  <si>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</si>
  <si>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</si>
  <si>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</si>
  <si>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</si>
  <si>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</si>
  <si>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</si>
  <si>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</si>
  <si>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</si>
  <si>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</si>
  <si>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</si>
  <si>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</si>
  <si>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</si>
  <si>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</si>
  <si>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</si>
  <si>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</si>
  <si>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</si>
  <si>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</si>
  <si>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</si>
  <si>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</si>
  <si>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</si>
  <si>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</si>
  <si>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</si>
  <si>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</si>
  <si>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</si>
  <si>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</si>
  <si>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</si>
  <si>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</si>
  <si>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</si>
  <si>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</si>
  <si>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</si>
  <si>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</si>
  <si>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</si>
  <si>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</si>
  <si>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</si>
  <si>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</si>
  <si>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</si>
  <si>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</si>
  <si>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</si>
  <si>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</si>
  <si>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</si>
  <si>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</si>
  <si>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</si>
  <si>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</si>
  <si>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</si>
  <si>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</si>
  <si>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</si>
  <si>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</si>
  <si>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</si>
  <si>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</si>
  <si>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</si>
  <si>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</si>
  <si>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</si>
  <si>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</si>
  <si>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</si>
  <si>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</si>
  <si>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</si>
  <si>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</si>
  <si>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</si>
  <si>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</si>
  <si>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</si>
  <si>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</si>
  <si>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</si>
  <si>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</si>
  <si>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</si>
  <si>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</si>
  <si>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</si>
  <si>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</si>
  <si>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</si>
  <si>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</si>
  <si>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</si>
  <si>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</si>
  <si>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</si>
  <si>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</si>
  <si>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</si>
  <si>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</si>
  <si>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</si>
  <si>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</si>
  <si>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</si>
  <si>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</si>
  <si>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</si>
  <si>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</si>
  <si>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</si>
  <si>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</si>
  <si>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</si>
  <si>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</si>
  <si>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</si>
  <si>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</si>
  <si>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</si>
  <si>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</si>
  <si>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</si>
  <si>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</si>
  <si>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</si>
  <si>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</si>
  <si>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</si>
  <si>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</si>
  <si>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</si>
  <si>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</si>
  <si>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</si>
  <si>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</si>
  <si>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</si>
  <si>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</si>
  <si>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</si>
  <si>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</si>
  <si>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</si>
  <si>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</si>
  <si>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</si>
  <si>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</si>
  <si>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</si>
  <si>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</si>
  <si>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</si>
  <si>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</si>
  <si>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</si>
  <si>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</si>
  <si>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</si>
  <si>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</si>
  <si>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</si>
  <si>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</si>
  <si>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</si>
  <si>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</si>
  <si>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</si>
  <si>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</si>
  <si>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</si>
  <si>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</si>
  <si>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</si>
  <si>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</si>
  <si>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</si>
  <si>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</si>
  <si>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</si>
  <si>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</si>
  <si>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</si>
  <si>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</si>
  <si>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</si>
  <si>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</si>
  <si>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</si>
  <si>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</si>
  <si>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</si>
  <si>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</si>
  <si>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</si>
  <si>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</si>
  <si>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</si>
  <si>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</si>
  <si>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</si>
  <si>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</si>
  <si>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</si>
  <si>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</si>
  <si>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</si>
  <si>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</si>
  <si>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</si>
  <si>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</si>
  <si>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</si>
  <si>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</si>
  <si>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</si>
  <si>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</si>
  <si>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</si>
  <si>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</si>
  <si>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</si>
  <si>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</si>
  <si>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</si>
  <si>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</si>
  <si>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</si>
  <si>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</si>
  <si>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</si>
  <si>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</si>
  <si>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</si>
  <si>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</si>
  <si>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</si>
  <si>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</si>
  <si>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</si>
  <si>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</si>
  <si>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</si>
  <si>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</si>
  <si>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</si>
  <si>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</si>
  <si>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</si>
  <si>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</si>
  <si>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</si>
  <si>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</si>
  <si>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</si>
  <si>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</si>
  <si>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</si>
  <si>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</si>
  <si>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</si>
  <si>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</si>
  <si>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</si>
  <si>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</si>
  <si>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</si>
  <si>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</si>
  <si>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</si>
  <si>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</si>
  <si>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</si>
  <si>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</si>
  <si>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</si>
  <si>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</si>
  <si>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</si>
  <si>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</si>
  <si>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</si>
  <si>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</si>
  <si>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</si>
  <si>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</si>
  <si>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</si>
  <si>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</si>
  <si>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</si>
  <si>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</si>
  <si>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</si>
  <si>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</si>
  <si>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</si>
  <si>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</si>
  <si>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</si>
  <si>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</si>
  <si>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</si>
  <si>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</si>
  <si>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</si>
  <si>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</si>
  <si>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</si>
  <si>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</si>
  <si>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</si>
  <si>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</si>
  <si>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</si>
  <si>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</si>
  <si>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</si>
  <si>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</si>
  <si>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</si>
  <si>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</si>
  <si>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</si>
  <si>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</si>
  <si>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</si>
  <si>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</si>
  <si>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</si>
  <si>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</si>
  <si>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</si>
  <si>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</si>
  <si>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</si>
  <si>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</si>
  <si>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</si>
  <si>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</si>
  <si>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</si>
  <si>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</si>
  <si>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</si>
  <si>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</si>
  <si>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</si>
  <si>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</si>
  <si>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</si>
  <si>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</si>
  <si>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</si>
  <si>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</si>
  <si>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</si>
  <si>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</si>
  <si>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</si>
  <si>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</si>
  <si>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</si>
  <si>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</si>
  <si>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</si>
  <si>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</si>
  <si>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</si>
  <si>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</si>
  <si>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</si>
  <si>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</si>
  <si>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</si>
  <si>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</si>
  <si>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</si>
  <si>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</si>
  <si>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</si>
  <si>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</si>
  <si>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</si>
  <si>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</si>
  <si>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</si>
  <si>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</si>
  <si>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</si>
  <si>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</si>
  <si>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</si>
  <si>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</si>
  <si>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</si>
  <si>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</si>
  <si>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</si>
  <si>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</si>
  <si>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</si>
  <si>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</si>
  <si>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</si>
  <si>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</si>
  <si>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</si>
  <si>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</si>
  <si>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</si>
  <si>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</si>
  <si>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</si>
  <si>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</si>
  <si>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</si>
  <si>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</si>
  <si>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</si>
  <si>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</si>
  <si>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</si>
  <si>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</si>
  <si>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</si>
  <si>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</si>
  <si>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</si>
  <si>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</si>
  <si>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</si>
  <si>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</si>
  <si>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</si>
  <si>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</si>
  <si>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</si>
  <si>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</si>
  <si>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</si>
  <si>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</si>
  <si>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</si>
  <si>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</si>
  <si>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</si>
  <si>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</si>
  <si>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</si>
  <si>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</si>
  <si>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</si>
  <si>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</si>
  <si>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</si>
  <si>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</si>
  <si>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</si>
  <si>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</si>
  <si>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</si>
  <si>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</si>
  <si>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</si>
  <si>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</si>
  <si>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</si>
  <si>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</si>
  <si>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</si>
  <si>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</si>
  <si>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</si>
  <si>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</si>
  <si>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</si>
  <si>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</si>
  <si>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</si>
  <si>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</si>
  <si>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</si>
  <si>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</si>
  <si>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</si>
  <si>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</si>
  <si>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</si>
  <si>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</si>
  <si>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</si>
  <si>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</si>
  <si>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</si>
  <si>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</si>
  <si>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</si>
  <si>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</si>
  <si>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</si>
  <si>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</si>
  <si>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</si>
  <si>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</si>
  <si>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</si>
  <si>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</si>
  <si>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</si>
  <si>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</si>
  <si>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</si>
  <si>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</si>
  <si>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</si>
  <si>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</si>
  <si>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</si>
  <si>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</si>
  <si>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</si>
  <si>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</si>
  <si>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</si>
  <si>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</si>
  <si>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</si>
  <si>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</si>
  <si>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</si>
  <si>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</si>
  <si>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</si>
  <si>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</si>
  <si>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</si>
  <si>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</si>
  <si>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</si>
  <si>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</si>
  <si>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</si>
  <si>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</si>
  <si>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</si>
  <si>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</si>
  <si>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</si>
  <si>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</si>
  <si>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</si>
  <si>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</si>
  <si>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</si>
  <si>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</si>
  <si>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</si>
  <si>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</si>
  <si>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</si>
  <si>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</si>
  <si>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</si>
  <si>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</si>
  <si>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</si>
  <si>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</si>
  <si>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</si>
  <si>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</si>
  <si>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</si>
  <si>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</si>
  <si>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</si>
  <si>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</si>
  <si>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</si>
  <si>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</si>
  <si>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</si>
  <si>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</si>
  <si>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</si>
  <si>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</si>
  <si>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</si>
  <si>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</si>
  <si>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</si>
  <si>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</si>
  <si>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</si>
  <si>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</si>
  <si>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</si>
  <si>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</si>
  <si>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</si>
  <si>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</si>
  <si>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</si>
  <si>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</si>
  <si>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</si>
  <si>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</si>
  <si>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</si>
  <si>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</si>
  <si>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</si>
  <si>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</si>
  <si>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</si>
  <si>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</si>
  <si>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</si>
  <si>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</si>
  <si>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</si>
  <si>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</si>
  <si>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</si>
  <si>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</si>
  <si>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</si>
  <si>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</si>
  <si>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</si>
  <si>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</si>
  <si>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</si>
  <si>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</si>
  <si>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</si>
  <si>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</si>
  <si>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</si>
  <si>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</si>
  <si>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</si>
  <si>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</si>
  <si>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</si>
  <si>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</si>
  <si>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</si>
  <si>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</si>
  <si>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</si>
  <si>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</si>
  <si>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</si>
  <si>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</si>
  <si>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</si>
  <si>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</si>
  <si>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</si>
  <si>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</si>
  <si>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</si>
  <si>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</si>
  <si>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</si>
  <si>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</si>
  <si>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</si>
  <si>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</si>
  <si>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</si>
  <si>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</si>
  <si>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</si>
  <si>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</si>
  <si>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</si>
  <si>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</si>
  <si>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</si>
  <si>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</si>
  <si>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</si>
  <si>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</si>
  <si>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</si>
  <si>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</si>
  <si>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</si>
  <si>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</si>
  <si>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</si>
  <si>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</si>
  <si>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</si>
  <si>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</si>
  <si>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</si>
  <si>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</si>
  <si>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</si>
  <si>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</si>
  <si>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</si>
  <si>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</si>
  <si>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</si>
  <si>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</si>
  <si>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</si>
  <si>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</si>
  <si>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</si>
  <si>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</si>
  <si>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</si>
  <si>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</si>
  <si>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</si>
  <si>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</si>
  <si>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</si>
  <si>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</si>
  <si>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</si>
  <si>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</si>
  <si>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</si>
  <si>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</si>
  <si>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</si>
  <si>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</si>
  <si>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</si>
  <si>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</si>
  <si>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</si>
  <si>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</si>
  <si>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</si>
  <si>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</si>
  <si>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</si>
  <si>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</si>
  <si>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</si>
  <si>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</si>
  <si>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</si>
  <si>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</si>
  <si>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</si>
  <si>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</si>
  <si>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</si>
  <si>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</si>
  <si>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</si>
  <si>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</si>
  <si>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</si>
  <si>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</si>
  <si>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</si>
  <si>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</si>
  <si>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</si>
  <si>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</si>
  <si>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</si>
  <si>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</si>
  <si>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</si>
  <si>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</si>
  <si>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</si>
  <si>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</si>
  <si>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</si>
  <si>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</si>
  <si>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</si>
  <si>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</si>
  <si>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</si>
  <si>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</si>
  <si>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</si>
  <si>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</si>
  <si>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</si>
  <si>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</si>
  <si>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</si>
  <si>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</si>
  <si>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</si>
  <si>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</si>
  <si>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</si>
  <si>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</si>
  <si>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</si>
  <si>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</si>
  <si>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</si>
  <si>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</si>
  <si>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</si>
  <si>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</si>
  <si>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</si>
  <si>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</si>
  <si>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</si>
  <si>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</si>
  <si>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</si>
  <si>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</si>
  <si>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</si>
  <si>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</si>
  <si>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</si>
  <si>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</si>
  <si>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</si>
  <si>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</si>
  <si>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</si>
  <si>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</si>
  <si>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</si>
  <si>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</si>
  <si>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</si>
  <si>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</si>
  <si>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</si>
  <si>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</si>
  <si>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</si>
  <si>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</si>
  <si>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</si>
  <si>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</si>
  <si>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</si>
  <si>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</si>
  <si>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</si>
  <si>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</si>
  <si>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</si>
  <si>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</si>
  <si>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</si>
  <si>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</si>
  <si>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</si>
  <si>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</si>
  <si>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</si>
  <si>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</si>
  <si>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</si>
  <si>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</si>
  <si>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</si>
  <si>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</si>
  <si>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</si>
  <si>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</si>
  <si>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</si>
  <si>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</si>
  <si>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</si>
  <si>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</si>
  <si>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</si>
  <si>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</si>
  <si>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</si>
  <si>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</si>
  <si>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</si>
  <si>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</si>
  <si>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</si>
  <si>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</si>
  <si>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</si>
  <si>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</si>
  <si>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</si>
  <si>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</si>
  <si>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</si>
  <si>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</si>
  <si>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</si>
  <si>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</si>
  <si>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</si>
  <si>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</si>
  <si>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</si>
  <si>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</si>
  <si>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</si>
  <si>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</si>
  <si>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</si>
  <si>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</si>
  <si>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</si>
  <si>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</si>
  <si>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</si>
  <si>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</si>
  <si>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</si>
  <si>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</si>
  <si>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</si>
  <si>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</si>
  <si>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</si>
  <si>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</si>
  <si>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</si>
  <si>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</si>
  <si>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</si>
  <si>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</si>
  <si>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</si>
  <si>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</si>
  <si>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</si>
  <si>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</si>
  <si>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</si>
  <si>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</si>
  <si>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</si>
  <si>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</si>
  <si>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</si>
  <si>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</si>
  <si>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</si>
  <si>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</si>
  <si>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</si>
  <si>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</si>
  <si>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</si>
  <si>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</si>
  <si>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</si>
  <si>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</si>
  <si>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</si>
  <si>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</si>
  <si>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</si>
  <si>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</si>
  <si>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</si>
  <si>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</si>
  <si>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</si>
  <si>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</si>
  <si>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</si>
  <si>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</si>
  <si>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</si>
  <si>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</si>
  <si>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</si>
  <si>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</si>
  <si>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</si>
  <si>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</si>
  <si>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</si>
  <si>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</si>
  <si>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</si>
  <si>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</si>
  <si>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</si>
  <si>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</si>
  <si>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</si>
  <si>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</si>
  <si>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</si>
  <si>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</si>
  <si>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</si>
  <si>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</si>
  <si>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</si>
  <si>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</si>
  <si>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</si>
  <si>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</si>
  <si>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</si>
  <si>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</si>
  <si>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</si>
  <si>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</si>
  <si>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</si>
  <si>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</si>
  <si>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</si>
  <si>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</si>
  <si>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</si>
  <si>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</si>
  <si>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</si>
  <si>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</si>
  <si>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</si>
  <si>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</si>
  <si>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</si>
  <si>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</si>
  <si>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</si>
  <si>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</si>
  <si>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</si>
  <si>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</si>
  <si>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</si>
  <si>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</si>
  <si>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</si>
  <si>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</si>
  <si>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</si>
  <si>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</si>
  <si>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</si>
  <si>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</si>
  <si>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</si>
  <si>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</si>
  <si>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</si>
  <si>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</si>
  <si>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</si>
  <si>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</si>
  <si>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</si>
  <si>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</si>
  <si>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</si>
  <si>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</si>
  <si>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</si>
  <si>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</si>
  <si>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</si>
  <si>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</si>
  <si>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</si>
  <si>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</si>
  <si>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</si>
  <si>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</si>
  <si>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</si>
  <si>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</si>
  <si>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</si>
  <si>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</si>
  <si>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</si>
  <si>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</si>
  <si>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</si>
  <si>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</si>
  <si>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</si>
  <si>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</si>
  <si>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</si>
  <si>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</si>
  <si>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</si>
  <si>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</si>
  <si>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</si>
  <si>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</si>
  <si>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</si>
  <si>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</si>
  <si>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</si>
  <si>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</si>
  <si>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</si>
  <si>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</si>
  <si>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</si>
  <si>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</si>
  <si>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</si>
  <si>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</si>
  <si>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</si>
  <si>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</si>
  <si>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</si>
  <si>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</si>
  <si>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</si>
  <si>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</si>
  <si>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</si>
  <si>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</si>
  <si>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</si>
  <si>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</si>
  <si>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</si>
  <si>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</si>
  <si>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</si>
  <si>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</si>
  <si>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</si>
  <si>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</si>
  <si>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</si>
  <si>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</si>
  <si>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</si>
  <si>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</si>
  <si>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</si>
  <si>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</si>
  <si>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</si>
  <si>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</si>
  <si>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</si>
  <si>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</si>
  <si>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</si>
  <si>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</si>
  <si>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</si>
  <si>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</si>
  <si>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</si>
  <si>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</si>
  <si>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</si>
  <si>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</si>
  <si>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</si>
  <si>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</si>
  <si>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</si>
  <si>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</si>
  <si>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</si>
  <si>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</si>
  <si>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</si>
  <si>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</si>
  <si>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</si>
  <si>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</si>
  <si>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</si>
  <si>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</si>
  <si>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</si>
  <si>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</si>
  <si>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</si>
  <si>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</si>
  <si>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</si>
  <si>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</si>
  <si>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</si>
  <si>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</si>
  <si>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</si>
  <si>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</si>
  <si>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</si>
  <si>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</si>
  <si>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</si>
  <si>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</si>
  <si>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</si>
  <si>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</si>
  <si>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</si>
  <si>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</si>
  <si>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</si>
  <si>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</si>
  <si>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</si>
  <si>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</si>
  <si>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</si>
  <si>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</si>
  <si>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</si>
  <si>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</si>
  <si>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</si>
  <si>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</si>
  <si>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</si>
  <si>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</si>
  <si>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</si>
  <si>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</si>
  <si>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</si>
  <si>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</si>
  <si>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</si>
  <si>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</si>
  <si>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</si>
  <si>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</si>
  <si>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</si>
  <si>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</si>
  <si>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</si>
  <si>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</si>
  <si>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</si>
  <si>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</si>
  <si>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</si>
  <si>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</si>
  <si>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</si>
  <si>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</si>
  <si>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</si>
  <si>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</si>
  <si>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</si>
  <si>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</si>
  <si>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</si>
  <si>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</si>
  <si>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</si>
  <si>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</si>
  <si>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</si>
  <si>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</si>
  <si>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</si>
  <si>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</si>
  <si>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</si>
  <si>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</si>
  <si>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</si>
  <si>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</si>
  <si>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</si>
  <si>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</si>
  <si>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</si>
  <si>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</si>
  <si>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</si>
  <si>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</si>
  <si>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</si>
  <si>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</si>
  <si>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</si>
  <si>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</si>
  <si>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</si>
  <si>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</si>
  <si>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</si>
  <si>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</si>
  <si>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</si>
  <si>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</si>
  <si>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</si>
  <si>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</si>
  <si>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</si>
  <si>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</si>
  <si>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</si>
  <si>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</si>
  <si>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</si>
  <si>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</si>
  <si>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</si>
  <si>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</si>
  <si>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</si>
  <si>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</si>
  <si>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</si>
  <si>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</si>
  <si>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</si>
  <si>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</si>
  <si>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</si>
  <si>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</si>
  <si>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</si>
  <si>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</si>
  <si>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</si>
  <si>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</si>
  <si>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</si>
  <si>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</si>
  <si>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</si>
  <si>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</si>
  <si>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</si>
  <si>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</si>
  <si>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</si>
  <si>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</si>
  <si>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</si>
  <si>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</si>
  <si>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</si>
  <si>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</si>
  <si>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</si>
  <si>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</si>
  <si>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</si>
  <si>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</si>
  <si>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</si>
  <si>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</si>
  <si>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</si>
  <si>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</si>
  <si>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</si>
  <si>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</si>
  <si>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</si>
  <si>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</si>
  <si>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</si>
  <si>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</si>
  <si>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</si>
  <si>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</si>
  <si>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</si>
  <si>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</si>
  <si>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</si>
  <si>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</si>
  <si>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</si>
  <si>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</si>
  <si>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</si>
  <si>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</si>
  <si>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</si>
  <si>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</si>
  <si>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</si>
  <si>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</si>
  <si>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</si>
  <si>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</si>
  <si>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</si>
  <si>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</si>
  <si>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</si>
  <si>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</si>
  <si>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</si>
  <si>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</si>
  <si>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</si>
  <si>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</si>
  <si>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</si>
  <si>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</si>
  <si>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</si>
  <si>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</si>
  <si>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</si>
  <si>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</si>
  <si>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</si>
  <si>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</si>
  <si>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</si>
  <si>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</si>
  <si>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</si>
  <si>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</si>
  <si>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</si>
  <si>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</si>
  <si>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</si>
  <si>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</si>
  <si>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</si>
  <si>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</si>
  <si>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</si>
  <si>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</si>
  <si>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</si>
  <si>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</si>
  <si>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</si>
  <si>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</si>
  <si>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</si>
  <si>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</si>
  <si>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</si>
  <si>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</si>
  <si>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</si>
  <si>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</si>
  <si>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</si>
  <si>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</si>
  <si>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</si>
  <si>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</si>
  <si>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</si>
  <si>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</si>
  <si>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</si>
  <si>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</si>
  <si>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</si>
  <si>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</si>
  <si>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</si>
  <si>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</si>
  <si>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</si>
  <si>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</si>
  <si>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</si>
  <si>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</si>
  <si>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</si>
  <si>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</si>
  <si>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</si>
  <si>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</si>
  <si>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</si>
  <si>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</si>
  <si>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</si>
  <si>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</si>
  <si>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</si>
  <si>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</si>
  <si>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</si>
  <si>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</si>
  <si>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</si>
  <si>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</si>
  <si>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</si>
  <si>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</si>
  <si>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</si>
  <si>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</si>
  <si>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</si>
  <si>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</si>
  <si>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</si>
  <si>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</si>
  <si>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</si>
  <si>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</si>
  <si>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</si>
  <si>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</si>
  <si>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</si>
  <si>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</si>
  <si>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</si>
  <si>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</si>
  <si>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</si>
  <si>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</si>
  <si>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</si>
  <si>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</si>
  <si>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</si>
  <si>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</si>
  <si>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</si>
  <si>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</si>
  <si>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</si>
  <si>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</si>
  <si>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</si>
  <si>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</si>
  <si>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</si>
  <si>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</si>
  <si>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</si>
  <si>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</si>
  <si>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</si>
  <si>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</si>
  <si>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</si>
  <si>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</si>
  <si>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</si>
  <si>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</si>
  <si>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</si>
  <si>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</si>
  <si>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</si>
  <si>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</si>
  <si>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</si>
  <si>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</si>
  <si>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</si>
  <si>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</si>
  <si>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</si>
  <si>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</si>
  <si>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</si>
  <si>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</si>
  <si>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</si>
  <si>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</si>
  <si>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</si>
  <si>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</si>
  <si>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</si>
  <si>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</si>
  <si>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</si>
  <si>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</si>
  <si>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</si>
  <si>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</si>
  <si>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</si>
  <si>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</si>
  <si>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</si>
  <si>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</si>
  <si>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</si>
  <si>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</si>
  <si>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</si>
  <si>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</si>
  <si>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</si>
  <si>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</si>
  <si>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</si>
  <si>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</si>
  <si>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</si>
  <si>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</si>
  <si>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</si>
  <si>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</si>
  <si>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</si>
  <si>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</si>
  <si>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</si>
  <si>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</si>
  <si>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</si>
  <si>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</si>
  <si>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</si>
  <si>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</si>
  <si>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</si>
  <si>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</si>
  <si>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</si>
  <si>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</si>
  <si>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</si>
  <si>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</si>
  <si>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</si>
  <si>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</si>
  <si>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</si>
  <si>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</si>
  <si>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</si>
  <si>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</si>
  <si>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</si>
  <si>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</si>
  <si>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</si>
  <si>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</si>
  <si>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</si>
  <si>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</si>
  <si>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</si>
  <si>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</si>
  <si>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</si>
  <si>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</si>
  <si>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</si>
  <si>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</si>
  <si>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</si>
  <si>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</si>
  <si>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</si>
  <si>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</si>
  <si>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</si>
  <si>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</si>
  <si>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</si>
  <si>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</si>
  <si>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</si>
  <si>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</si>
  <si>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</si>
  <si>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</si>
  <si>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</si>
  <si>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</si>
  <si>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</si>
  <si>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</si>
  <si>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</si>
  <si>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</si>
  <si>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</si>
  <si>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</si>
  <si>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</si>
  <si>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</si>
  <si>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</si>
  <si>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</si>
  <si>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</si>
  <si>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</si>
  <si>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</si>
  <si>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</si>
  <si>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</si>
  <si>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</si>
  <si>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</si>
  <si>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</si>
  <si>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</si>
  <si>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</si>
  <si>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</si>
  <si>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</si>
  <si>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</si>
  <si>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</si>
  <si>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</si>
  <si>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</si>
  <si>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</si>
  <si>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</si>
  <si>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</si>
  <si>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</si>
  <si>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</si>
  <si>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</si>
  <si>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</si>
  <si>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</si>
  <si>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</si>
  <si>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</si>
  <si>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</si>
  <si>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</si>
  <si>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</si>
  <si>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</si>
  <si>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</si>
  <si>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</si>
  <si>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</si>
  <si>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</si>
  <si>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</si>
  <si>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</si>
  <si>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</si>
  <si>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</si>
  <si>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</si>
  <si>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</si>
  <si>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</si>
  <si>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</si>
  <si>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</si>
  <si>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</si>
  <si>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</si>
  <si>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</si>
  <si>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</si>
  <si>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</si>
  <si>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</si>
  <si>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</si>
  <si>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</si>
  <si>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</si>
  <si>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</si>
  <si>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</si>
  <si>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</si>
  <si>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</si>
  <si>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</si>
  <si>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</si>
  <si>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</si>
  <si>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</si>
  <si>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</si>
  <si>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</si>
  <si>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</si>
  <si>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</si>
  <si>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</si>
  <si>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</si>
  <si>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</si>
  <si>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</si>
  <si>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</si>
  <si>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</si>
  <si>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</si>
  <si>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</si>
  <si>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</si>
  <si>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</si>
  <si>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</si>
  <si>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</si>
  <si>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</si>
  <si>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</si>
  <si>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</si>
  <si>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</si>
  <si>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</si>
  <si>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</si>
  <si>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</si>
  <si>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</si>
  <si>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</si>
  <si>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</si>
  <si>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</si>
  <si>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</si>
  <si>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</si>
  <si>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</si>
  <si>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</si>
  <si>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</si>
  <si>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</si>
  <si>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</si>
  <si>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</si>
  <si>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</si>
  <si>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</si>
  <si>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</si>
  <si>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</si>
  <si>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</si>
  <si>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</si>
  <si>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</si>
  <si>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</si>
  <si>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</si>
  <si>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</si>
  <si>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</si>
  <si>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</si>
  <si>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</si>
  <si>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</si>
  <si>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</si>
  <si>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</si>
  <si>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</si>
  <si>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</si>
  <si>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</si>
  <si>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</si>
  <si>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</si>
  <si>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</si>
  <si>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</si>
  <si>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</si>
  <si>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</si>
  <si>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</si>
  <si>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</si>
  <si>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</si>
  <si>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</si>
  <si>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</si>
  <si>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</si>
  <si>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</si>
  <si>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</si>
  <si>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</si>
  <si>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</si>
  <si>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</si>
  <si>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</si>
  <si>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</si>
  <si>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</si>
  <si>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</si>
  <si>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</si>
  <si>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</si>
  <si>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</si>
  <si>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</si>
  <si>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</si>
  <si>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</si>
  <si>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</si>
  <si>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</si>
  <si>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</si>
  <si>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</si>
  <si>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</si>
  <si>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</si>
  <si>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</si>
  <si>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</si>
  <si>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</si>
  <si>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</si>
  <si>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</si>
  <si>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</si>
  <si>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</si>
  <si>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</si>
  <si>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</si>
  <si>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</si>
  <si>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</si>
  <si>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</si>
  <si>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</si>
  <si>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</si>
  <si>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</si>
  <si>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</si>
  <si>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</si>
  <si>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</si>
  <si>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</si>
  <si>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</si>
  <si>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</si>
  <si>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</si>
  <si>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</si>
  <si>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</si>
  <si>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</si>
  <si>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</si>
  <si>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</si>
  <si>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</si>
  <si>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</si>
  <si>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</si>
  <si>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</si>
  <si>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</si>
  <si>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</si>
  <si>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</si>
  <si>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</si>
  <si>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</si>
  <si>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</si>
  <si>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</si>
  <si>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</si>
  <si>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</si>
  <si>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</si>
  <si>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</si>
  <si>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</si>
  <si>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</si>
  <si>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</si>
  <si>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</si>
  <si>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</si>
  <si>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</si>
  <si>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</si>
  <si>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</si>
  <si>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</si>
  <si>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</si>
  <si>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</si>
  <si>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</si>
  <si>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</si>
  <si>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</si>
  <si>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</si>
  <si>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</si>
  <si>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</si>
  <si>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</si>
  <si>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</si>
  <si>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</si>
  <si>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</si>
  <si>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</si>
  <si>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</si>
  <si>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</si>
  <si>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</si>
  <si>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</si>
  <si>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</si>
  <si>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</si>
  <si>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</si>
  <si>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</si>
  <si>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</si>
  <si>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</si>
  <si>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</si>
  <si>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</si>
  <si>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</si>
  <si>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</si>
  <si>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</si>
  <si>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</si>
  <si>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</si>
  <si>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</si>
  <si>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</si>
  <si>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</si>
  <si>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</si>
  <si>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</si>
  <si>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</si>
  <si>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</si>
  <si>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</si>
  <si>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</si>
  <si>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</si>
  <si>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</si>
  <si>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</si>
  <si>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</si>
  <si>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</si>
  <si>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</si>
  <si>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</si>
  <si>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</si>
  <si>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</si>
  <si>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</si>
  <si>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</si>
  <si>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</si>
  <si>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</si>
  <si>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</si>
  <si>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</si>
  <si>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</si>
  <si>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</si>
  <si>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</si>
  <si>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</si>
  <si>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</si>
  <si>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</si>
  <si>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</si>
  <si>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</si>
  <si>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</si>
  <si>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</si>
  <si>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</si>
  <si>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</si>
  <si>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</si>
  <si>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</si>
  <si>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</si>
  <si>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</si>
  <si>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</si>
  <si>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</si>
  <si>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</si>
  <si>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</si>
  <si>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</si>
  <si>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</si>
  <si>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</si>
  <si>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</si>
  <si>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</si>
  <si>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</si>
  <si>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</si>
  <si>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</si>
  <si>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</si>
  <si>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</si>
  <si>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</si>
  <si>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</si>
  <si>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</si>
  <si>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</si>
  <si>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</si>
  <si>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</si>
  <si>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</si>
  <si>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</si>
  <si>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</si>
  <si>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</si>
  <si>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</si>
  <si>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</si>
  <si>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</si>
  <si>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</si>
  <si>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</si>
  <si>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</si>
  <si>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</si>
  <si>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</si>
  <si>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</si>
  <si>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</si>
  <si>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</si>
  <si>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</si>
  <si>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</si>
  <si>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</si>
  <si>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</si>
  <si>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</si>
  <si>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</si>
  <si>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</si>
  <si>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</si>
  <si>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</si>
  <si>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</si>
  <si>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</si>
  <si>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</si>
  <si>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</si>
  <si>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</si>
  <si>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</si>
  <si>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</si>
  <si>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</si>
  <si>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</si>
  <si>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</si>
  <si>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</si>
  <si>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</si>
  <si>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</si>
  <si>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</si>
  <si>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</si>
  <si>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</si>
  <si>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</si>
  <si>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</si>
  <si>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</si>
  <si>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</si>
  <si>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</si>
  <si>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</si>
  <si>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</si>
  <si>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</si>
  <si>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</si>
  <si>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</si>
  <si>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</si>
  <si>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</si>
  <si>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</si>
  <si>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</si>
  <si>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</si>
  <si>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</si>
  <si>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</si>
  <si>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</si>
  <si>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</si>
  <si>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</si>
  <si>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</si>
  <si>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</si>
  <si>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</si>
  <si>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</si>
  <si>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</si>
  <si>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</si>
  <si>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</si>
  <si>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</si>
  <si>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</si>
  <si>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</si>
  <si>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</si>
  <si>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</si>
  <si>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</si>
  <si>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</si>
  <si>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</si>
  <si>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</si>
  <si>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</si>
  <si>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</si>
  <si>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</si>
  <si>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</si>
  <si>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</si>
  <si>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</si>
  <si>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</si>
  <si>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</si>
  <si>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</si>
  <si>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</si>
  <si>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</si>
  <si>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</si>
  <si>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</si>
  <si>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</si>
  <si>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</si>
  <si>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</si>
  <si>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</si>
  <si>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</si>
  <si>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</si>
  <si>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</si>
  <si>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</si>
  <si>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</si>
  <si>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</si>
  <si>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</si>
  <si>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</si>
  <si>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</si>
  <si>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</si>
  <si>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</si>
  <si>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</si>
  <si>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</si>
  <si>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</si>
  <si>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</si>
  <si>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</si>
  <si>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</si>
  <si>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</si>
  <si>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</si>
  <si>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</si>
  <si>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</si>
  <si>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</si>
  <si>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</si>
  <si>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</si>
  <si>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</si>
  <si>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</si>
  <si>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</si>
  <si>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</si>
  <si>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</si>
  <si>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</si>
  <si>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</si>
  <si>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</si>
  <si>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</si>
  <si>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</si>
  <si>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</si>
  <si>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</si>
  <si>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</si>
  <si>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</si>
  <si>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</si>
  <si>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</si>
  <si>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</si>
  <si>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</si>
  <si>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</si>
  <si>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</si>
  <si>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</si>
  <si>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</si>
  <si>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</si>
  <si>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</si>
  <si>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</si>
  <si>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</si>
  <si>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</si>
  <si>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</si>
  <si>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</si>
  <si>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</si>
  <si>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</si>
  <si>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</si>
  <si>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</si>
  <si>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</si>
  <si>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</si>
  <si>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</si>
  <si>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</si>
  <si>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</si>
  <si>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</si>
  <si>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</si>
  <si>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</si>
  <si>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</si>
  <si>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</si>
  <si>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</si>
  <si>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</si>
  <si>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</si>
  <si>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</si>
  <si>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</si>
  <si>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</si>
  <si>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</si>
  <si>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</si>
  <si>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</si>
  <si>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</si>
  <si>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</si>
  <si>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</si>
  <si>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</si>
  <si>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</si>
  <si>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</si>
  <si>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</si>
  <si>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</si>
  <si>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</si>
  <si>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</si>
  <si>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</si>
  <si>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</si>
  <si>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</si>
  <si>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</si>
  <si>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</si>
  <si>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</si>
  <si>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</si>
  <si>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</si>
  <si>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</si>
  <si>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</si>
  <si>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</si>
  <si>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</si>
  <si>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</si>
  <si>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</si>
  <si>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</si>
  <si>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</si>
  <si>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</si>
  <si>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</si>
  <si>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</si>
  <si>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</si>
  <si>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</si>
  <si>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</si>
  <si>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</si>
  <si>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</si>
  <si>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</si>
  <si>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</si>
  <si>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</si>
  <si>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</si>
  <si>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</si>
  <si>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</si>
  <si>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</si>
  <si>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</si>
  <si>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</si>
  <si>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</si>
  <si>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</si>
  <si>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</si>
  <si>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</si>
  <si>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</si>
  <si>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</si>
  <si>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</si>
  <si>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</si>
  <si>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</si>
  <si>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</si>
  <si>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</si>
  <si>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</si>
  <si>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</si>
  <si>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</si>
  <si>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</si>
  <si>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</si>
  <si>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</si>
  <si>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</si>
  <si>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</si>
  <si>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</si>
  <si>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</si>
  <si>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</si>
  <si>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</si>
  <si>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</si>
  <si>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</si>
  <si>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</si>
  <si>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</si>
  <si>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</si>
  <si>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</si>
  <si>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</si>
  <si>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</si>
  <si>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</si>
  <si>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</si>
  <si>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</si>
  <si>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</si>
  <si>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</si>
  <si>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</si>
  <si>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</si>
  <si>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</si>
  <si>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</si>
  <si>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</si>
  <si>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</si>
  <si>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</si>
  <si>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</si>
  <si>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</si>
  <si>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</si>
  <si>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</si>
  <si>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</si>
  <si>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</si>
  <si>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</si>
  <si>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</si>
  <si>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</si>
  <si>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</si>
  <si>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</si>
  <si>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</si>
  <si>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</si>
  <si>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</si>
  <si>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</si>
  <si>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</si>
  <si>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</si>
  <si>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</si>
  <si>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</si>
  <si>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</si>
  <si>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</si>
  <si>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</si>
  <si>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</si>
  <si>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</si>
  <si>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</si>
  <si>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</si>
  <si>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</si>
  <si>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</si>
  <si>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</si>
  <si>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</si>
  <si>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</si>
  <si>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</si>
  <si>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</si>
  <si>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</si>
  <si>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</si>
  <si>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</si>
  <si>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</si>
  <si>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</si>
  <si>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</si>
  <si>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</si>
  <si>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</si>
  <si>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</si>
  <si>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</si>
  <si>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</si>
  <si>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</si>
  <si>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</si>
  <si>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</si>
  <si>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</si>
  <si>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</si>
  <si>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</si>
  <si>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</si>
  <si>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</si>
  <si>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</si>
  <si>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</si>
  <si>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</si>
  <si>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</si>
  <si>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</si>
  <si>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</si>
  <si>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</si>
  <si>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</si>
  <si>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</si>
  <si>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</si>
  <si>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</si>
  <si>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</si>
  <si>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</si>
  <si>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</si>
  <si>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</si>
  <si>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</si>
  <si>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</si>
  <si>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</si>
  <si>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</si>
  <si>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</si>
  <si>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</si>
  <si>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</si>
  <si>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</si>
  <si>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</si>
  <si>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</si>
  <si>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</si>
  <si>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</si>
  <si>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</si>
  <si>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</si>
  <si>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</si>
  <si>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</si>
  <si>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</si>
  <si>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</si>
  <si>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</si>
  <si>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</si>
  <si>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</si>
  <si>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</si>
  <si>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</si>
  <si>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</si>
  <si>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</si>
  <si>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</si>
  <si>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</si>
  <si>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</si>
  <si>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</si>
  <si>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</si>
  <si>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</si>
  <si>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</si>
  <si>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</si>
  <si>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</si>
  <si>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</si>
  <si>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</si>
  <si>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</si>
  <si>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</si>
  <si>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</si>
  <si>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</si>
  <si>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</si>
  <si>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</si>
  <si>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</si>
  <si>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</si>
  <si>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</si>
  <si>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</si>
  <si>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</si>
  <si>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</si>
  <si>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</si>
  <si>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</si>
  <si>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</si>
  <si>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</si>
  <si>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</si>
  <si>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</si>
  <si>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</si>
  <si>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</si>
  <si>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</si>
  <si>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</si>
  <si>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</si>
  <si>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</si>
  <si>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</si>
  <si>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</si>
  <si>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</si>
  <si>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</si>
  <si>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</si>
  <si>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</si>
  <si>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</si>
  <si>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</si>
  <si>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</si>
  <si>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</si>
  <si>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</si>
  <si>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</si>
  <si>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</si>
  <si>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</si>
  <si>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</si>
  <si>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</si>
  <si>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</si>
  <si>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</si>
  <si>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</si>
  <si>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</si>
  <si>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</si>
  <si>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</si>
  <si>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</si>
  <si>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</si>
  <si>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</si>
  <si>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</si>
  <si>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</si>
  <si>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</si>
  <si>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</si>
  <si>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</si>
  <si>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</si>
  <si>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</si>
  <si>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</si>
  <si>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</si>
  <si>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</si>
  <si>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</si>
  <si>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</si>
  <si>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</si>
  <si>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</si>
  <si>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</si>
  <si>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</si>
  <si>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</si>
  <si>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</si>
  <si>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</si>
  <si>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</si>
  <si>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</si>
  <si>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</si>
  <si>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</si>
  <si>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</si>
  <si>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</si>
  <si>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</si>
  <si>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</si>
  <si>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</si>
  <si>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</si>
  <si>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</si>
  <si>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</si>
  <si>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</si>
  <si>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</si>
  <si>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</si>
  <si>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</si>
  <si>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</si>
  <si>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</si>
  <si>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</si>
  <si>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</si>
  <si>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</si>
  <si>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</si>
  <si>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</si>
  <si>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</si>
  <si>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</si>
  <si>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</si>
  <si>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</si>
  <si>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</si>
  <si>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</si>
  <si>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</si>
  <si>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</si>
  <si>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</si>
  <si>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</si>
  <si>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</si>
  <si>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</si>
  <si>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</si>
  <si>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</si>
  <si>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</si>
  <si>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</si>
  <si>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</si>
  <si>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</si>
  <si>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</si>
  <si>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</si>
  <si>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</si>
  <si>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</si>
  <si>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</si>
  <si>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</si>
  <si>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</si>
  <si>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</si>
  <si>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</si>
  <si>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</si>
  <si>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</si>
  <si>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</si>
  <si>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</si>
  <si>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</si>
  <si>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</si>
  <si>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</si>
  <si>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</si>
  <si>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</si>
  <si>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</si>
  <si>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</si>
  <si>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</si>
  <si>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</si>
  <si>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</si>
  <si>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</si>
  <si>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</si>
  <si>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</si>
  <si>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</si>
  <si>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</si>
  <si>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</si>
  <si>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</si>
  <si>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</si>
  <si>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</si>
  <si>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</si>
  <si>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</si>
  <si>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</si>
  <si>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</si>
  <si>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</si>
  <si>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</si>
  <si>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</si>
  <si>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</si>
  <si>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</si>
  <si>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</si>
  <si>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</si>
  <si>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</si>
  <si>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</si>
  <si>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</si>
  <si>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</si>
  <si>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</si>
  <si>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</si>
  <si>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</si>
  <si>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</si>
  <si>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</si>
  <si>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</si>
  <si>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</si>
  <si>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</si>
  <si>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</si>
  <si>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</si>
  <si>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</si>
  <si>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</si>
  <si>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</si>
  <si>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</si>
  <si>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</si>
  <si>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</si>
  <si>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</si>
  <si>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</si>
  <si>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</si>
  <si>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</si>
  <si>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</si>
  <si>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</si>
  <si>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</si>
  <si>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</si>
  <si>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</si>
  <si>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</si>
  <si>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</si>
  <si>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</si>
  <si>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</si>
  <si>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</si>
  <si>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</si>
  <si>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</si>
  <si>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</si>
  <si>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</si>
  <si>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</si>
  <si>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</si>
  <si>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</si>
  <si>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</si>
  <si>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</si>
  <si>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</si>
  <si>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</si>
  <si>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</si>
  <si>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</si>
  <si>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</si>
  <si>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</si>
  <si>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</si>
  <si>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</si>
  <si>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</si>
  <si>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</si>
  <si>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</si>
  <si>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</si>
  <si>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</si>
  <si>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</si>
  <si>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</si>
  <si>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</si>
  <si>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</si>
  <si>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</si>
  <si>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</si>
  <si>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</si>
  <si>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</si>
  <si>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</si>
  <si>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</si>
  <si>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</si>
  <si>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</si>
  <si>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</si>
  <si>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</si>
  <si>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</si>
  <si>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</si>
  <si>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</si>
  <si>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</si>
  <si>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</si>
  <si>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</si>
  <si>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</si>
  <si>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</si>
  <si>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</si>
  <si>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</si>
  <si>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</si>
  <si>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</si>
  <si>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</si>
  <si>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</si>
  <si>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</si>
  <si>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</si>
  <si>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</si>
  <si>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</si>
  <si>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</si>
  <si>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</si>
  <si>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</si>
  <si>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</si>
  <si>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</si>
  <si>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</si>
  <si>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</si>
  <si>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</si>
  <si>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</si>
  <si>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</si>
  <si>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</si>
  <si>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</si>
  <si>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</si>
  <si>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</si>
  <si>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</si>
  <si>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</si>
  <si>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</si>
  <si>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</si>
  <si>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</si>
  <si>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</si>
  <si>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</si>
  <si>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</si>
  <si>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</si>
  <si>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</si>
  <si>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</si>
  <si>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</si>
  <si>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</si>
  <si>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</si>
  <si>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</si>
  <si>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</si>
  <si>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</si>
  <si>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</si>
  <si>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</si>
  <si>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</si>
  <si>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</si>
  <si>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</si>
  <si>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</si>
  <si>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</si>
  <si>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</si>
  <si>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</si>
  <si>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</si>
  <si>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</si>
  <si>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</si>
  <si>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</si>
  <si>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</si>
  <si>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</si>
  <si>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</si>
  <si>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</si>
  <si>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</si>
  <si>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</si>
  <si>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</si>
  <si>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</si>
  <si>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</si>
  <si>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</si>
  <si>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</si>
  <si>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</si>
  <si>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</si>
  <si>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</si>
  <si>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</si>
  <si>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</si>
  <si>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</si>
  <si>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</si>
  <si>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</si>
  <si>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</si>
  <si>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</si>
  <si>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</si>
  <si>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</si>
  <si>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</si>
  <si>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</si>
  <si>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</si>
  <si>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</si>
  <si>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</si>
  <si>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</si>
  <si>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</si>
  <si>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</si>
  <si>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</si>
  <si>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</si>
  <si>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</si>
  <si>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</si>
  <si>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</si>
  <si>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</si>
  <si>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</si>
  <si>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</si>
  <si>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</si>
  <si>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</si>
  <si>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</si>
  <si>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</si>
  <si>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</si>
  <si>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</si>
  <si>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</si>
  <si>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</si>
  <si>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</si>
  <si>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</si>
  <si>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</si>
  <si>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</si>
  <si>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</si>
  <si>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</si>
  <si>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</si>
  <si>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</si>
  <si>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</si>
  <si>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</si>
  <si>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</si>
  <si>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</si>
  <si>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</si>
  <si>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</si>
  <si>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</si>
  <si>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</si>
  <si>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</si>
  <si>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</si>
  <si>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</si>
  <si>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</si>
  <si>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</si>
  <si>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</si>
  <si>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</si>
  <si>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</si>
  <si>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</si>
  <si>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</si>
  <si>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</si>
  <si>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</si>
  <si>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</si>
  <si>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</si>
  <si>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</si>
  <si>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</si>
  <si>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</si>
  <si>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</si>
  <si>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</si>
  <si>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</si>
  <si>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</si>
  <si>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</si>
  <si>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</si>
  <si>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</si>
  <si>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</si>
  <si>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</si>
  <si>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</si>
  <si>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</si>
  <si>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</si>
  <si>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</si>
  <si>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</si>
  <si>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</si>
  <si>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</si>
  <si>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</si>
  <si>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</si>
  <si>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</si>
  <si>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</si>
  <si>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</si>
  <si>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</si>
  <si>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</si>
  <si>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</si>
  <si>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</si>
  <si>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</si>
  <si>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</si>
  <si>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</si>
  <si>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</si>
  <si>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</si>
  <si>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</si>
  <si>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</si>
  <si>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</si>
  <si>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</si>
  <si>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</si>
  <si>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</si>
  <si>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</si>
  <si>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</si>
  <si>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</si>
  <si>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</si>
  <si>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</si>
  <si>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</si>
  <si>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</si>
  <si>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</si>
  <si>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</si>
  <si>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</si>
  <si>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</si>
  <si>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</si>
  <si>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</si>
  <si>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</si>
  <si>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</si>
  <si>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</si>
  <si>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</si>
  <si>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</si>
  <si>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</si>
  <si>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</si>
  <si>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</si>
  <si>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</si>
  <si>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</si>
  <si>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</si>
  <si>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</si>
  <si>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</si>
  <si>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</si>
  <si>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</si>
  <si>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</si>
  <si>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</si>
  <si>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</si>
  <si>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</si>
  <si>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</si>
  <si>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</si>
  <si>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</si>
  <si>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</si>
  <si>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</si>
  <si>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</si>
  <si>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</si>
  <si>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</si>
  <si>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</si>
  <si>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</si>
  <si>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</si>
  <si>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</si>
  <si>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</si>
  <si>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</si>
  <si>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</si>
  <si>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</si>
  <si>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</si>
  <si>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</si>
  <si>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</si>
  <si>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</si>
  <si>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</si>
  <si>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</si>
  <si>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</si>
  <si>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</si>
  <si>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</si>
  <si>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</si>
  <si>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</si>
  <si>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</si>
  <si>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</si>
  <si>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</si>
  <si>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</si>
  <si>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</si>
  <si>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</si>
  <si>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</si>
  <si>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</si>
  <si>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</si>
  <si>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</si>
  <si>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</si>
  <si>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</si>
  <si>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</si>
  <si>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</si>
  <si>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</si>
  <si>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</si>
  <si>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</si>
  <si>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</si>
  <si>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</si>
  <si>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</si>
  <si>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</si>
  <si>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</si>
  <si>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</si>
  <si>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</si>
  <si>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</si>
  <si>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</si>
  <si>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</si>
  <si>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</si>
  <si>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</si>
  <si>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</si>
  <si>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</si>
  <si>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</si>
  <si>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</si>
  <si>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</si>
  <si>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</si>
  <si>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</si>
  <si>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</si>
  <si>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</si>
  <si>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</si>
  <si>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</si>
  <si>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</si>
  <si>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</si>
  <si>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</si>
  <si>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</si>
  <si>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</si>
  <si>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</si>
  <si>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</si>
  <si>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</si>
  <si>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</si>
  <si>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</si>
  <si>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</si>
  <si>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</si>
  <si>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</si>
  <si>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</si>
  <si>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</si>
  <si>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</si>
  <si>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</si>
  <si>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</si>
  <si>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</si>
  <si>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</si>
  <si>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</si>
  <si>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</si>
  <si>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</si>
  <si>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</si>
  <si>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</si>
  <si>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</si>
  <si>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</si>
  <si>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</si>
  <si>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</si>
  <si>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</si>
  <si>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</si>
  <si>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</si>
  <si>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</si>
  <si>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</si>
  <si>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</si>
  <si>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</si>
  <si>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</si>
  <si>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</si>
  <si>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</si>
  <si>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</si>
  <si>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</si>
  <si>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</si>
  <si>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</si>
  <si>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</si>
  <si>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</si>
  <si>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</si>
  <si>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</si>
  <si>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</si>
  <si>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</si>
  <si>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</si>
  <si>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</si>
  <si>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</si>
  <si>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</si>
  <si>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</si>
  <si>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</si>
  <si>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</si>
  <si>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</si>
  <si>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</si>
  <si>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</si>
  <si>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</si>
  <si>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</si>
  <si>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</si>
  <si>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</si>
  <si>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</si>
  <si>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</si>
  <si>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</si>
  <si>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</si>
  <si>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</si>
  <si>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</si>
  <si>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</si>
  <si>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</si>
  <si>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</si>
  <si>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</si>
  <si>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</si>
  <si>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</si>
  <si>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</si>
  <si>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</si>
  <si>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</si>
  <si>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</si>
  <si>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</si>
  <si>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</si>
  <si>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</si>
  <si>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</si>
  <si>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</si>
  <si>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</si>
  <si>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</si>
  <si>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</si>
  <si>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</si>
  <si>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</si>
  <si>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</si>
  <si>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</si>
  <si>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</si>
  <si>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</si>
  <si>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</si>
  <si>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</si>
  <si>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</si>
  <si>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</si>
  <si>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</si>
  <si>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</si>
  <si>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</si>
  <si>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</si>
  <si>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</si>
  <si>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</si>
  <si>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</si>
  <si>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</si>
  <si>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</si>
  <si>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</si>
  <si>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</si>
  <si>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</si>
  <si>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</si>
  <si>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</si>
  <si>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</si>
  <si>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</si>
  <si>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</si>
  <si>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</si>
  <si>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</si>
  <si>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</si>
  <si>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</si>
  <si>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</si>
  <si>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</si>
  <si>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</si>
  <si>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</si>
  <si>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</si>
  <si>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</si>
  <si>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</si>
  <si>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</si>
  <si>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</si>
  <si>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</si>
  <si>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</si>
  <si>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</si>
  <si>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</si>
  <si>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</si>
  <si>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</si>
  <si>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</si>
  <si>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</si>
  <si>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</si>
  <si>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</si>
  <si>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</si>
  <si>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</si>
  <si>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</si>
  <si>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</si>
  <si>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</si>
  <si>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</si>
  <si>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</si>
  <si>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</si>
  <si>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</si>
  <si>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</si>
  <si>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</si>
  <si>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</si>
  <si>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</si>
  <si>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</si>
  <si>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</si>
  <si>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</si>
  <si>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</si>
  <si>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</si>
  <si>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</si>
  <si>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</si>
  <si>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</si>
  <si>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</si>
  <si>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</si>
  <si>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</si>
  <si>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</si>
  <si>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</si>
  <si>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</si>
  <si>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</si>
  <si>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</si>
  <si>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</si>
  <si>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</si>
  <si>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</si>
  <si>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</si>
  <si>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</si>
  <si>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</si>
  <si>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</si>
  <si>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</si>
  <si>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</si>
  <si>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</si>
  <si>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</si>
  <si>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</si>
  <si>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</si>
  <si>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</si>
  <si>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</si>
  <si>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</si>
  <si>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</si>
  <si>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</si>
  <si>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</si>
  <si>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</si>
  <si>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</si>
  <si>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</si>
  <si>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</si>
  <si>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</si>
  <si>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</si>
  <si>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</si>
  <si>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</si>
  <si>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</si>
  <si>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</si>
  <si>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</si>
  <si>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</si>
  <si>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</si>
  <si>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</si>
  <si>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</si>
  <si>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</si>
  <si>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</si>
  <si>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</si>
  <si>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</si>
  <si>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</si>
  <si>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</si>
  <si>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</si>
  <si>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</si>
  <si>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</si>
  <si>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</si>
  <si>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</si>
  <si>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</si>
  <si>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</si>
  <si>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</si>
  <si>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</si>
  <si>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</si>
  <si>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</si>
  <si>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</si>
  <si>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</si>
  <si>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</si>
  <si>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</si>
  <si>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</si>
  <si>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</si>
  <si>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</si>
  <si>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</si>
  <si>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</si>
  <si>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</si>
  <si>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</si>
  <si>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</si>
  <si>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</si>
  <si>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</si>
  <si>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</si>
  <si>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</si>
  <si>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</si>
  <si>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</si>
  <si>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</si>
  <si>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</si>
  <si>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</si>
  <si>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</si>
  <si>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</si>
  <si>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</si>
  <si>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</si>
  <si>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</si>
  <si>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</si>
  <si>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</si>
  <si>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</si>
  <si>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</si>
  <si>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</si>
  <si>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</si>
  <si>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</si>
  <si>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</si>
  <si>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</si>
  <si>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</si>
  <si>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</si>
  <si>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</si>
  <si>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</si>
  <si>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</si>
  <si>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</si>
  <si>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</si>
  <si>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</si>
  <si>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</si>
  <si>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</si>
  <si>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</si>
  <si>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</si>
  <si>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</si>
  <si>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</si>
  <si>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</si>
  <si>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</si>
  <si>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</si>
  <si>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</si>
  <si>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</si>
  <si>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</si>
  <si>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</si>
  <si>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</si>
  <si>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</si>
  <si>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</si>
  <si>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</si>
  <si>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</si>
  <si>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</si>
  <si>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</si>
  <si>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</si>
  <si>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</si>
  <si>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</si>
  <si>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</si>
  <si>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</si>
  <si>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</si>
  <si>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</si>
  <si>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</si>
  <si>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</si>
  <si>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</si>
  <si>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</si>
  <si>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</si>
  <si>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</si>
  <si>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</si>
  <si>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</si>
  <si>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</si>
  <si>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</si>
  <si>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</si>
  <si>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</si>
  <si>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</si>
  <si>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</si>
  <si>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</si>
  <si>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</si>
  <si>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</si>
  <si>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</si>
  <si>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</si>
  <si>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</si>
  <si>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</si>
  <si>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</si>
  <si>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</si>
  <si>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</si>
  <si>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</si>
  <si>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</si>
  <si>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</si>
  <si>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</si>
  <si>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</si>
  <si>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</si>
  <si>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</si>
  <si>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</si>
  <si>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</si>
  <si>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</si>
  <si>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</si>
  <si>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</si>
  <si>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</si>
  <si>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</si>
  <si>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</si>
  <si>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</si>
  <si>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</si>
  <si>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</si>
  <si>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</si>
  <si>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</si>
  <si>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</si>
  <si>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</si>
  <si>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</si>
  <si>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</si>
  <si>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</si>
  <si>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</si>
  <si>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</si>
  <si>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</si>
  <si>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</si>
  <si>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</si>
  <si>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</si>
  <si>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</si>
  <si>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</si>
  <si>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</si>
  <si>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</si>
  <si>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</si>
  <si>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</si>
  <si>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</si>
  <si>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</si>
  <si>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</si>
  <si>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</si>
  <si>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</si>
  <si>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</si>
  <si>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</si>
  <si>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</si>
  <si>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</si>
  <si>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</si>
  <si>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</si>
  <si>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</si>
  <si>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</si>
  <si>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</si>
  <si>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</si>
  <si>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</si>
  <si>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</si>
  <si>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</si>
  <si>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</si>
  <si>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</si>
  <si>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</si>
  <si>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</si>
  <si>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</si>
  <si>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</si>
  <si>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</si>
  <si>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</si>
  <si>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</si>
  <si>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</si>
  <si>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</si>
  <si>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</si>
  <si>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</si>
  <si>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</si>
  <si>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</si>
  <si>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</si>
  <si>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</si>
  <si>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</si>
  <si>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</si>
  <si>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</si>
  <si>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</si>
  <si>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</si>
  <si>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</si>
  <si>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</si>
  <si>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</si>
  <si>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</si>
  <si>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</si>
  <si>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</si>
  <si>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</si>
  <si>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</si>
  <si>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</si>
  <si>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</si>
  <si>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</si>
  <si>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</si>
  <si>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</si>
  <si>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</si>
  <si>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</si>
  <si>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</si>
  <si>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</si>
  <si>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</si>
  <si>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</si>
  <si>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</si>
  <si>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</si>
  <si>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</si>
  <si>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</si>
  <si>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</si>
  <si>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</si>
  <si>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</si>
  <si>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</si>
  <si>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</si>
  <si>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</si>
  <si>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</si>
  <si>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</si>
  <si>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</si>
  <si>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</si>
  <si>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</si>
  <si>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</si>
  <si>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</si>
  <si>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</si>
  <si>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</si>
  <si>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</si>
  <si>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</si>
  <si>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</si>
  <si>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</si>
  <si>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</si>
  <si>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</si>
  <si>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</si>
  <si>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</si>
  <si>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</si>
  <si>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</si>
  <si>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</si>
  <si>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</si>
  <si>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</si>
  <si>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</si>
  <si>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</si>
  <si>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</si>
  <si>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</si>
  <si>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</si>
  <si>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</si>
  <si>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</si>
  <si>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</si>
  <si>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</si>
  <si>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</si>
  <si>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</si>
  <si>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</si>
  <si>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</si>
  <si>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</si>
  <si>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</si>
  <si>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</si>
  <si>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</si>
  <si>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</si>
  <si>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</si>
  <si>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</si>
  <si>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</si>
  <si>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</si>
  <si>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</si>
  <si>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</si>
  <si>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</si>
  <si>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</si>
  <si>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</si>
  <si>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</si>
  <si>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</si>
  <si>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</si>
  <si>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</si>
  <si>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</si>
  <si>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</si>
  <si>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</si>
  <si>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</si>
  <si>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</si>
  <si>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</si>
  <si>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</si>
  <si>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</si>
  <si>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</si>
  <si>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</si>
  <si>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</si>
  <si>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</si>
  <si>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</si>
  <si>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</si>
  <si>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</si>
  <si>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</si>
  <si>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</si>
  <si>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</si>
  <si>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</si>
  <si>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</si>
  <si>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</si>
  <si>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</si>
  <si>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</si>
  <si>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</si>
  <si>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</si>
  <si>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</si>
  <si>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</si>
  <si>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</si>
  <si>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</si>
  <si>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</si>
  <si>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</si>
  <si>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</si>
  <si>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</si>
  <si>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</si>
  <si>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</si>
  <si>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</si>
  <si>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</si>
  <si>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</si>
  <si>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</si>
  <si>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</si>
  <si>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</si>
  <si>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</si>
  <si>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</si>
  <si>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</si>
  <si>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</si>
  <si>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</si>
  <si>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</si>
  <si>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</si>
  <si>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</si>
  <si>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</si>
  <si>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</si>
  <si>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</si>
  <si>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</si>
  <si>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</si>
  <si>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</si>
  <si>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</si>
  <si>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</si>
  <si>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</si>
  <si>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</si>
  <si>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</si>
  <si>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</si>
  <si>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</si>
  <si>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</si>
  <si>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</si>
  <si>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</si>
  <si>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</si>
  <si>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</si>
  <si>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</si>
  <si>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</si>
  <si>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</si>
  <si>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</si>
  <si>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</si>
  <si>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</si>
  <si>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</si>
  <si>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</si>
  <si>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</si>
  <si>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</si>
  <si>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</si>
  <si>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</si>
  <si>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</si>
  <si>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</si>
  <si>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</si>
  <si>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</si>
  <si>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</si>
  <si>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</si>
  <si>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</si>
  <si>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</si>
  <si>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</si>
  <si>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</si>
  <si>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</si>
  <si>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</si>
  <si>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</si>
  <si>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</si>
  <si>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</si>
  <si>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</si>
  <si>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</si>
  <si>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</si>
  <si>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</si>
  <si>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</si>
  <si>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</si>
  <si>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</si>
  <si>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</si>
  <si>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</si>
  <si>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</si>
  <si>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</si>
  <si>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</si>
  <si>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</si>
  <si>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</si>
  <si>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</si>
  <si>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</si>
  <si>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</si>
  <si>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</si>
  <si>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</si>
  <si>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</si>
  <si>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</si>
  <si>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</si>
  <si>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</si>
  <si>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</si>
  <si>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</si>
  <si>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</si>
  <si>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</si>
  <si>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</si>
  <si>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</si>
  <si>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</si>
  <si>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</si>
  <si>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</si>
  <si>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</si>
  <si>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</si>
  <si>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</si>
  <si>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</si>
  <si>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</si>
  <si>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</si>
  <si>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</si>
  <si>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</si>
  <si>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</si>
  <si>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</si>
  <si>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</si>
  <si>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</si>
  <si>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</si>
  <si>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</si>
  <si>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</si>
  <si>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</si>
  <si>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</si>
  <si>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</si>
  <si>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</si>
  <si>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</si>
  <si>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</si>
  <si>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</si>
  <si>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</si>
  <si>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</si>
  <si>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</si>
  <si>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</si>
  <si>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</si>
  <si>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</si>
  <si>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</si>
  <si>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</si>
  <si>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</si>
  <si>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</si>
  <si>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</si>
  <si>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</si>
  <si>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</si>
  <si>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</si>
  <si>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</si>
  <si>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</si>
  <si>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</si>
  <si>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</si>
  <si>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</si>
  <si>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</si>
  <si>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</si>
  <si>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</si>
  <si>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</si>
  <si>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</si>
  <si>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</si>
  <si>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</si>
  <si>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</si>
  <si>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</si>
  <si>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</si>
  <si>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</si>
  <si>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</si>
  <si>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</si>
  <si>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</si>
  <si>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</si>
  <si>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</si>
  <si>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</si>
  <si>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</si>
  <si>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</si>
  <si>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</si>
  <si>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</si>
  <si>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</si>
  <si>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</si>
  <si>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</si>
  <si>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</si>
  <si>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</si>
  <si>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</si>
  <si>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</si>
  <si>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</si>
  <si>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</si>
  <si>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</si>
  <si>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</si>
  <si>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</si>
  <si>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</si>
  <si>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</si>
  <si>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</si>
  <si>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</si>
  <si>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</si>
  <si>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</si>
  <si>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</si>
  <si>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</si>
  <si>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</si>
  <si>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</si>
  <si>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</si>
  <si>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</si>
  <si>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</si>
  <si>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</si>
  <si>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</si>
  <si>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</si>
  <si>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</si>
  <si>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</si>
  <si>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</si>
  <si>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</si>
  <si>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</si>
  <si>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</si>
  <si>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</si>
  <si>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</si>
  <si>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</si>
  <si>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</si>
  <si>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</si>
  <si>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</si>
  <si>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</si>
  <si>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</si>
  <si>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</si>
  <si>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</si>
  <si>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</si>
  <si>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</si>
  <si>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</si>
  <si>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</si>
  <si>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</si>
  <si>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</si>
  <si>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</si>
  <si>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</si>
  <si>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</si>
  <si>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</si>
  <si>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</si>
  <si>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</si>
  <si>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</si>
  <si>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</si>
  <si>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</si>
  <si>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</si>
  <si>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</si>
  <si>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</si>
  <si>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</si>
  <si>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</si>
  <si>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</si>
  <si>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</si>
  <si>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</si>
  <si>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</si>
  <si>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</si>
  <si>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</si>
  <si>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</si>
  <si>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</si>
  <si>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</si>
  <si>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</si>
  <si>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</si>
  <si>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</si>
  <si>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</si>
  <si>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</si>
  <si>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</si>
  <si>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</si>
  <si>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</si>
  <si>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</si>
  <si>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</si>
  <si>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</si>
  <si>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</si>
  <si>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</si>
  <si>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</si>
  <si>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</si>
  <si>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</si>
  <si>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</si>
  <si>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</si>
  <si>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</si>
  <si>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</si>
  <si>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</si>
  <si>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</si>
  <si>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</si>
  <si>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</si>
  <si>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</si>
  <si>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</si>
  <si>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</si>
  <si>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</si>
  <si>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</si>
  <si>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</si>
  <si>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</si>
  <si>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</si>
  <si>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</si>
  <si>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</si>
  <si>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</si>
  <si>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</si>
  <si>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</si>
  <si>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</si>
  <si>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</si>
  <si>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</si>
  <si>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</si>
  <si>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</si>
  <si>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</si>
  <si>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</si>
  <si>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</si>
  <si>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</si>
  <si>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</si>
  <si>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</si>
  <si>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</si>
  <si>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</si>
  <si>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</si>
  <si>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</si>
  <si>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</si>
  <si>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</si>
  <si>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</si>
  <si>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</si>
  <si>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</si>
  <si>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</si>
  <si>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</si>
  <si>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</si>
  <si>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</si>
  <si>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</si>
  <si>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</si>
  <si>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</si>
  <si>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</si>
  <si>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</si>
  <si>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</si>
  <si>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</si>
  <si>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</si>
  <si>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</si>
  <si>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</si>
  <si>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</si>
  <si>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</si>
  <si>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</si>
  <si>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</si>
  <si>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</si>
  <si>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</si>
  <si>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</si>
  <si>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</si>
  <si>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</si>
  <si>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</si>
  <si>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</si>
  <si>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</si>
  <si>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</si>
  <si>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</si>
  <si>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</si>
  <si>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</si>
  <si>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</si>
  <si>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</si>
  <si>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</si>
  <si>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</si>
  <si>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</si>
  <si>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</si>
  <si>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</si>
  <si>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</si>
  <si>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</si>
  <si>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</si>
  <si>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</si>
  <si>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</si>
  <si>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</si>
  <si>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</si>
  <si>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</si>
  <si>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</si>
  <si>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</si>
  <si>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</si>
  <si>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</si>
  <si>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</si>
  <si>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</si>
  <si>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</si>
  <si>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</si>
  <si>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</si>
  <si>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</si>
  <si>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</si>
  <si>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</si>
  <si>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</si>
  <si>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</si>
  <si>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</si>
  <si>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</si>
  <si>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</si>
  <si>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</si>
  <si>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</si>
  <si>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</si>
  <si>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</si>
  <si>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</si>
  <si>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</si>
  <si>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</si>
  <si>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</si>
  <si>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</si>
  <si>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</si>
  <si>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</si>
  <si>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</si>
  <si>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</si>
  <si>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</si>
  <si>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</si>
  <si>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</si>
  <si>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</si>
  <si>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</si>
  <si>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</si>
  <si>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</si>
  <si>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</si>
  <si>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</si>
  <si>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</si>
  <si>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</si>
  <si>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</si>
  <si>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</si>
  <si>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</si>
  <si>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</si>
  <si>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</si>
  <si>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</si>
  <si>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</si>
  <si>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</si>
  <si>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</si>
  <si>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</si>
  <si>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</si>
  <si>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</si>
  <si>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</si>
  <si>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</si>
  <si>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</si>
  <si>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</si>
  <si>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</si>
  <si>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</si>
  <si>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</si>
  <si>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</si>
  <si>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</si>
  <si>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</si>
  <si>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</si>
  <si>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</si>
  <si>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</si>
  <si>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</si>
  <si>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</si>
  <si>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</si>
  <si>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</si>
  <si>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</si>
  <si>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</si>
  <si>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</si>
  <si>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</si>
  <si>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</si>
  <si>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</si>
  <si>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</si>
  <si>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</si>
  <si>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</si>
  <si>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</si>
  <si>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</si>
  <si>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</si>
  <si>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</si>
  <si>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</si>
  <si>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</si>
  <si>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</si>
  <si>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</si>
  <si>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</si>
  <si>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</si>
  <si>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</si>
  <si>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</si>
  <si>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</si>
  <si>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</si>
  <si>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</si>
  <si>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</si>
  <si>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</si>
  <si>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</si>
  <si>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</si>
  <si>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</si>
  <si>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</si>
  <si>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</si>
  <si>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</si>
  <si>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</si>
  <si>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</si>
  <si>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</si>
  <si>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</si>
  <si>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</si>
  <si>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</si>
  <si>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</si>
  <si>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</si>
  <si>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</si>
  <si>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</si>
  <si>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</si>
  <si>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</si>
  <si>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</si>
  <si>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</si>
  <si>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</si>
  <si>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</si>
  <si>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</si>
  <si>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</si>
  <si>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</si>
  <si>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</si>
  <si>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</si>
  <si>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</si>
  <si>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</si>
  <si>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</si>
  <si>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</si>
  <si>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</si>
  <si>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</si>
  <si>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</si>
  <si>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</si>
  <si>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</si>
  <si>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</si>
  <si>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</si>
  <si>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</si>
  <si>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</si>
  <si>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</si>
  <si>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</si>
  <si>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</si>
  <si>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</si>
  <si>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</si>
  <si>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</si>
  <si>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</si>
  <si>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</si>
  <si>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</si>
  <si>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</si>
  <si>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</si>
  <si>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</si>
  <si>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</si>
  <si>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</si>
  <si>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</si>
  <si>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</si>
  <si>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</si>
  <si>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</si>
  <si>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</si>
  <si>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</si>
  <si>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</si>
  <si>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</si>
  <si>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</si>
  <si>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</si>
  <si>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</si>
  <si>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</si>
  <si>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</si>
  <si>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</si>
  <si>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</si>
  <si>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</si>
  <si>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</si>
  <si>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</si>
  <si>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</si>
  <si>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</si>
  <si>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</si>
  <si>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</si>
  <si>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</si>
  <si>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</si>
  <si>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</si>
  <si>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</si>
  <si>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</si>
  <si>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</si>
  <si>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</si>
  <si>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</si>
  <si>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</si>
  <si>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</si>
  <si>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</si>
  <si>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</si>
  <si>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</si>
  <si>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</si>
  <si>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</si>
  <si>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</si>
  <si>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</si>
  <si>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</si>
  <si>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</si>
  <si>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</si>
  <si>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</si>
  <si>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</si>
  <si>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</si>
  <si>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</si>
  <si>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</si>
  <si>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</si>
  <si>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</si>
  <si>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</si>
  <si>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</si>
  <si>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</si>
  <si>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</si>
  <si>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</si>
  <si>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</si>
  <si>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</si>
  <si>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</si>
  <si>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</si>
  <si>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</si>
  <si>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</si>
  <si>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</si>
  <si>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</si>
  <si>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</si>
  <si>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</si>
  <si>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</si>
  <si>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</si>
  <si>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</si>
  <si>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</si>
  <si>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</si>
  <si>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</si>
  <si>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</si>
  <si>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</si>
  <si>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</si>
  <si>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</si>
  <si>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</si>
  <si>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</si>
  <si>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</si>
  <si>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</si>
  <si>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</si>
  <si>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</si>
  <si>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</si>
  <si>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</si>
  <si>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</si>
  <si>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</si>
  <si>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</si>
  <si>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</si>
  <si>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</si>
  <si>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</si>
  <si>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</si>
  <si>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</si>
  <si>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</si>
  <si>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</si>
  <si>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</si>
  <si>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</si>
  <si>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</si>
  <si>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</si>
  <si>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</si>
  <si>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</si>
  <si>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</si>
  <si>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</si>
  <si>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</si>
  <si>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</si>
  <si>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</si>
  <si>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</si>
  <si>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</si>
  <si>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</si>
  <si>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</si>
  <si>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</si>
  <si>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</si>
  <si>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</si>
  <si>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</si>
  <si>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</si>
  <si>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</si>
  <si>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</si>
  <si>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</si>
  <si>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</si>
  <si>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</si>
  <si>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</si>
  <si>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</si>
  <si>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</si>
  <si>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</si>
  <si>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</si>
  <si>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</si>
  <si>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</si>
  <si>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</si>
  <si>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</si>
  <si>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</si>
  <si>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</si>
  <si>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</si>
  <si>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</si>
  <si>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</si>
  <si>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</si>
  <si>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</si>
  <si>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</si>
  <si>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</si>
  <si>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</si>
  <si>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</si>
  <si>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</si>
  <si>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</si>
  <si>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</si>
  <si>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</si>
  <si>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</si>
  <si>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</si>
  <si>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</si>
  <si>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</si>
  <si>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</si>
  <si>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</si>
  <si>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</si>
  <si>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</si>
  <si>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</si>
  <si>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</si>
  <si>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</si>
  <si>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</si>
  <si>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</si>
  <si>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</si>
  <si>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</si>
  <si>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</si>
  <si>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</si>
  <si>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</si>
  <si>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</si>
  <si>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</si>
  <si>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</si>
  <si>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</si>
  <si>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</si>
  <si>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</si>
  <si>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</si>
  <si>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</si>
  <si>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</si>
  <si>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</si>
  <si>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</si>
  <si>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</si>
  <si>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</si>
  <si>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</si>
  <si>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</si>
  <si>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</si>
  <si>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</si>
  <si>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</si>
  <si>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</si>
  <si>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</si>
  <si>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</si>
  <si>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</si>
  <si>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</si>
  <si>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</si>
  <si>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</si>
  <si>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</si>
  <si>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</si>
  <si>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</si>
  <si>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</si>
  <si>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</si>
  <si>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</si>
  <si>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</si>
  <si>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</si>
  <si>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</si>
  <si>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</si>
  <si>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</si>
  <si>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</si>
  <si>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</si>
  <si>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</si>
  <si>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</si>
  <si>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</si>
  <si>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</si>
  <si>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</si>
  <si>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</si>
  <si>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</si>
  <si>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</si>
  <si>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</si>
  <si>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</si>
  <si>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</si>
  <si>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</si>
  <si>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</si>
  <si>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</si>
  <si>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</si>
  <si>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</si>
  <si>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</si>
  <si>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</si>
  <si>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</si>
  <si>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</si>
  <si>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</si>
  <si>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</si>
  <si>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</si>
  <si>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</si>
  <si>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</si>
  <si>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</si>
  <si>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</si>
  <si>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</si>
  <si>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</si>
  <si>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</si>
  <si>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</si>
  <si>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</si>
  <si>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</si>
  <si>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</si>
  <si>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</si>
  <si>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</si>
  <si>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</si>
  <si>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</si>
  <si>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</si>
  <si>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</si>
  <si>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</si>
  <si>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</si>
  <si>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</si>
  <si>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</si>
  <si>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</si>
  <si>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</si>
  <si>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</si>
  <si>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</si>
  <si>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</si>
  <si>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</si>
  <si>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</si>
  <si>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</si>
  <si>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</si>
  <si>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</si>
  <si>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</si>
  <si>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</si>
  <si>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</si>
  <si>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</si>
  <si>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</si>
  <si>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</si>
  <si>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</si>
  <si>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</si>
  <si>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</si>
  <si>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</si>
  <si>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</si>
  <si>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</si>
  <si>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</si>
  <si>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</si>
  <si>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</si>
  <si>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</si>
  <si>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</si>
  <si>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</si>
  <si>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</si>
  <si>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</si>
  <si>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</si>
  <si>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</si>
  <si>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</si>
  <si>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</si>
  <si>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</si>
  <si>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</si>
  <si>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</si>
  <si>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</si>
  <si>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</si>
  <si>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</si>
  <si>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</si>
  <si>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</si>
  <si>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</si>
  <si>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</si>
  <si>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</si>
  <si>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</si>
  <si>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</si>
  <si>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</si>
  <si>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</si>
  <si>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</si>
  <si>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</si>
  <si>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</si>
  <si>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</si>
  <si>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</si>
  <si>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</si>
  <si>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</si>
  <si>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</si>
  <si>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</si>
  <si>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</si>
  <si>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</si>
  <si>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</si>
  <si>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</si>
  <si>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</si>
  <si>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</si>
  <si>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</si>
  <si>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</si>
  <si>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</si>
  <si>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</si>
  <si>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</si>
  <si>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</si>
  <si>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</si>
  <si>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</si>
  <si>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</si>
  <si>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</si>
  <si>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</si>
  <si>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</si>
  <si>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</si>
  <si>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</si>
  <si>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</si>
  <si>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</si>
  <si>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</si>
  <si>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</si>
  <si>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</si>
  <si>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</si>
  <si>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</si>
  <si>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</si>
  <si>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</si>
  <si>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</si>
  <si>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</si>
  <si>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</si>
  <si>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</si>
  <si>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</si>
  <si>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</si>
  <si>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</si>
  <si>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</si>
  <si>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</si>
  <si>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</si>
  <si>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</si>
  <si>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</si>
  <si>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</si>
  <si>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</si>
  <si>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</si>
  <si>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</si>
  <si>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</si>
  <si>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</si>
  <si>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</si>
  <si>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</si>
  <si>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</si>
  <si>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</si>
  <si>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</si>
  <si>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</si>
  <si>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</si>
  <si>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</si>
  <si>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</si>
  <si>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</si>
  <si>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</si>
  <si>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</si>
  <si>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</si>
  <si>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</si>
  <si>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</si>
  <si>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</si>
  <si>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</si>
  <si>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</si>
  <si>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</si>
  <si>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</si>
  <si>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</si>
  <si>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</si>
  <si>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</si>
  <si>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</si>
  <si>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</si>
  <si>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</si>
  <si>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</si>
  <si>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</si>
  <si>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</si>
  <si>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</si>
  <si>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</si>
  <si>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</si>
  <si>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</si>
  <si>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</si>
  <si>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</si>
  <si>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</si>
  <si>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</si>
  <si>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</si>
  <si>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</si>
  <si>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</si>
  <si>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</si>
  <si>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</si>
  <si>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</si>
  <si>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</si>
  <si>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</si>
  <si>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</si>
  <si>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</si>
  <si>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</si>
  <si>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</si>
  <si>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</si>
  <si>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</si>
  <si>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</si>
  <si>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</si>
  <si>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</si>
  <si>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</si>
  <si>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</si>
  <si>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</si>
  <si>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</si>
  <si>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</si>
  <si>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</si>
  <si>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</si>
  <si>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</si>
  <si>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</si>
  <si>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</si>
  <si>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</si>
  <si>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</si>
  <si>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</si>
  <si>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</si>
  <si>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</si>
  <si>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</si>
  <si>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</si>
  <si>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</si>
  <si>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</si>
  <si>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</si>
  <si>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</si>
  <si>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</si>
  <si>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</si>
  <si>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</si>
  <si>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</si>
  <si>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</si>
  <si>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</si>
  <si>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</si>
  <si>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</si>
  <si>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</si>
  <si>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</si>
  <si>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</si>
  <si>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</si>
  <si>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</si>
  <si>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</si>
  <si>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</si>
  <si>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</si>
  <si>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</si>
  <si>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</si>
  <si>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</si>
  <si>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</si>
  <si>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</si>
  <si>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</si>
  <si>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</si>
  <si>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</si>
  <si>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</si>
  <si>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</si>
  <si>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</si>
  <si>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</si>
  <si>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</si>
  <si>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</si>
  <si>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</si>
  <si>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</si>
  <si>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</si>
  <si>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</si>
  <si>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</si>
  <si>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</si>
  <si>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</si>
  <si>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</si>
  <si>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</si>
  <si>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</si>
  <si>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</si>
  <si>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</si>
  <si>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</si>
  <si>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</si>
  <si>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</si>
  <si>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</si>
  <si>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</si>
  <si>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</si>
  <si>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</si>
  <si>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</si>
  <si>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</si>
  <si>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</si>
  <si>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</si>
  <si>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</si>
  <si>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</si>
  <si>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</si>
  <si>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</si>
  <si>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</si>
  <si>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</si>
  <si>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</si>
  <si>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</si>
  <si>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</si>
  <si>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</si>
  <si>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</si>
  <si>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</si>
  <si>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</si>
  <si>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</si>
  <si>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</si>
  <si>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</si>
  <si>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</si>
  <si>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</si>
  <si>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</si>
  <si>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</si>
  <si>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</si>
  <si>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</si>
  <si>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</si>
  <si>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</si>
  <si>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</si>
  <si>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</si>
  <si>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</si>
  <si>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</si>
  <si>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</si>
  <si>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</si>
  <si>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</si>
  <si>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</si>
  <si>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</si>
  <si>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</si>
  <si>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</si>
  <si>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</si>
  <si>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</si>
  <si>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</si>
  <si>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</si>
  <si>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</si>
  <si>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</si>
  <si>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</si>
  <si>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</si>
  <si>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</si>
  <si>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</si>
  <si>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</si>
  <si>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</si>
  <si>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</si>
  <si>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</si>
  <si>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</si>
  <si>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</si>
  <si>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</si>
  <si>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</si>
  <si>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</si>
  <si>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</si>
  <si>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</si>
  <si>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</si>
  <si>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</si>
  <si>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</si>
  <si>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</si>
  <si>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</si>
  <si>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</si>
  <si>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</si>
  <si>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</si>
  <si>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</si>
  <si>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</si>
  <si>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</si>
  <si>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</si>
  <si>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</si>
  <si>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</si>
  <si>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</si>
  <si>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</si>
  <si>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</si>
  <si>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</si>
  <si>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</si>
  <si>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</si>
  <si>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</si>
  <si>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</si>
  <si>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</si>
  <si>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</si>
  <si>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</si>
  <si>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</si>
  <si>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</si>
  <si>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</si>
  <si>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</si>
  <si>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</si>
  <si>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</si>
  <si>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</si>
  <si>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</si>
  <si>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</si>
  <si>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</si>
  <si>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</si>
  <si>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</si>
  <si>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</si>
  <si>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</si>
  <si>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</si>
  <si>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</si>
  <si>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</si>
  <si>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</si>
  <si>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</si>
  <si>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</si>
  <si>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</si>
  <si>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</si>
  <si>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</si>
  <si>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</si>
  <si>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</si>
  <si>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</si>
  <si>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</si>
  <si>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</si>
  <si>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</si>
  <si>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</si>
  <si>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</si>
  <si>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</si>
  <si>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</si>
  <si>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</si>
  <si>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</si>
  <si>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</si>
  <si>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</si>
  <si>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</si>
  <si>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</si>
  <si>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</si>
  <si>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</si>
  <si>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</si>
  <si>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</si>
  <si>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</si>
  <si>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</si>
  <si>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</si>
  <si>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</si>
  <si>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</si>
  <si>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</si>
  <si>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</si>
  <si>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</si>
  <si>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</si>
  <si>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</si>
  <si>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</si>
  <si>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</si>
  <si>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</si>
  <si>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</si>
  <si>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</si>
  <si>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</si>
  <si>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</si>
  <si>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</si>
  <si>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</si>
  <si>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</si>
  <si>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</si>
  <si>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</si>
  <si>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</si>
  <si>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</si>
  <si>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</si>
  <si>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</si>
  <si>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</si>
  <si>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</si>
  <si>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</si>
  <si>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</si>
  <si>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</si>
  <si>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</si>
  <si>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</si>
  <si>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</si>
  <si>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</si>
  <si>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</si>
  <si>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</si>
  <si>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</si>
  <si>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</si>
  <si>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</si>
  <si>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</si>
  <si>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</si>
  <si>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</si>
  <si>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</si>
  <si>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</si>
  <si>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</si>
  <si>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</si>
  <si>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</si>
  <si>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</si>
  <si>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</si>
  <si>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</si>
  <si>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</si>
  <si>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</si>
  <si>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</si>
  <si>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</si>
  <si>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</si>
  <si>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</si>
  <si>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</si>
  <si>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</si>
  <si>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</si>
  <si>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</si>
  <si>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</si>
  <si>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</si>
  <si>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</si>
  <si>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</si>
  <si>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</si>
  <si>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</si>
  <si>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</si>
  <si>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</si>
  <si>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</si>
  <si>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</si>
  <si>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</si>
  <si>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</si>
  <si>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</si>
  <si>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</si>
  <si>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</si>
  <si>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</si>
  <si>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</si>
  <si>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</si>
  <si>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</si>
  <si>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</si>
  <si>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</si>
  <si>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</si>
  <si>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</si>
  <si>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</si>
  <si>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</si>
  <si>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</si>
  <si>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</si>
  <si>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</si>
  <si>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</si>
  <si>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</si>
  <si>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</si>
  <si>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</si>
  <si>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</si>
  <si>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</si>
  <si>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</si>
  <si>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</si>
  <si>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</si>
  <si>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</si>
  <si>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</si>
  <si>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</si>
  <si>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</si>
  <si>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</si>
  <si>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</si>
  <si>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</si>
  <si>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</si>
  <si>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</si>
  <si>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</si>
  <si>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</si>
  <si>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</si>
  <si>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</si>
  <si>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</si>
  <si>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</si>
  <si>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</si>
  <si>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</si>
  <si>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</si>
  <si>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</si>
  <si>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</si>
  <si>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</si>
  <si>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</si>
  <si>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</si>
  <si>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</si>
  <si>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</si>
  <si>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</si>
  <si>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</si>
  <si>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</si>
  <si>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</si>
  <si>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</si>
  <si>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</si>
  <si>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</si>
  <si>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</si>
  <si>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</si>
  <si>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</si>
  <si>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</si>
  <si>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</si>
  <si>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</si>
  <si>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</si>
  <si>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</si>
  <si>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</si>
  <si>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</si>
  <si>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</si>
  <si>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</si>
  <si>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</si>
  <si>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</si>
  <si>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</si>
  <si>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</si>
  <si>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</si>
  <si>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</si>
  <si>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</si>
  <si>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</si>
  <si>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</si>
  <si>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</si>
  <si>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</si>
  <si>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</si>
  <si>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</si>
  <si>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</si>
  <si>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</si>
  <si>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</si>
  <si>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</si>
  <si>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</si>
  <si>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</si>
  <si>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</si>
  <si>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</si>
  <si>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</si>
  <si>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</si>
  <si>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</si>
  <si>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</si>
  <si>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</si>
  <si>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</si>
  <si>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</si>
  <si>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</si>
  <si>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</si>
  <si>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</si>
  <si>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</si>
  <si>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</si>
  <si>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</si>
  <si>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</si>
  <si>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</si>
  <si>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</si>
  <si>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</si>
  <si>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</si>
  <si>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</si>
  <si>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</si>
  <si>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</si>
  <si>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</si>
  <si>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</si>
  <si>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</si>
  <si>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</si>
  <si>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</si>
  <si>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</si>
  <si>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</si>
  <si>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</si>
  <si>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</si>
  <si>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</si>
  <si>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</si>
  <si>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</si>
  <si>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</si>
  <si>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</si>
  <si>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</si>
  <si>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</si>
  <si>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</si>
  <si>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</si>
  <si>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</si>
  <si>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</si>
  <si>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</si>
  <si>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</si>
  <si>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</si>
  <si>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</si>
  <si>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</si>
  <si>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</si>
  <si>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</si>
  <si>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</si>
  <si>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</si>
  <si>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</si>
  <si>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</si>
  <si>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</si>
  <si>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</si>
  <si>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</si>
  <si>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</si>
  <si>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</si>
  <si>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</si>
  <si>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</si>
  <si>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</si>
  <si>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</si>
  <si>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</si>
  <si>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</si>
  <si>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</si>
  <si>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</si>
  <si>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</si>
  <si>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</si>
  <si>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</si>
  <si>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</si>
  <si>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</si>
  <si>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</si>
  <si>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</si>
  <si>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</si>
  <si>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</si>
  <si>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</si>
  <si>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</si>
  <si>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</si>
  <si>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</si>
  <si>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</si>
  <si>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</si>
  <si>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</si>
  <si>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</si>
  <si>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</si>
  <si>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</si>
  <si>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</si>
  <si>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</si>
  <si>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</si>
  <si>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</si>
  <si>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</si>
  <si>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</si>
  <si>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</si>
  <si>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</si>
  <si>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</si>
  <si>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</si>
  <si>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</si>
  <si>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</si>
  <si>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</si>
  <si>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</si>
  <si>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</si>
  <si>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</si>
  <si>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</si>
  <si>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</si>
  <si>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</si>
  <si>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</si>
  <si>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</si>
  <si>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</si>
  <si>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</si>
  <si>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</si>
  <si>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</si>
  <si>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</si>
  <si>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</si>
  <si>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</si>
  <si>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</si>
  <si>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</si>
  <si>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</si>
  <si>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</si>
  <si>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</si>
  <si>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</si>
  <si>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</si>
  <si>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</si>
  <si>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</si>
  <si>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</si>
  <si>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</si>
  <si>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</si>
  <si>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</si>
  <si>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</si>
  <si>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</si>
  <si>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</si>
  <si>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</si>
  <si>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</si>
  <si>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</si>
  <si>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</si>
  <si>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</si>
  <si>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</si>
  <si>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</si>
  <si>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</si>
  <si>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</si>
  <si>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</si>
  <si>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</si>
  <si>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</si>
  <si>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</si>
  <si>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</si>
  <si>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</si>
  <si>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</si>
  <si>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</si>
  <si>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</si>
  <si>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</si>
  <si>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</si>
  <si>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</si>
  <si>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</si>
  <si>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</si>
  <si>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</si>
  <si>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</si>
  <si>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</si>
  <si>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</si>
  <si>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</si>
  <si>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</si>
  <si>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</si>
  <si>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</si>
  <si>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</si>
  <si>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</si>
  <si>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</si>
  <si>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</si>
  <si>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</si>
  <si>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</si>
  <si>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</si>
  <si>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</si>
  <si>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</si>
  <si>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</si>
  <si>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</si>
  <si>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</si>
  <si>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</si>
  <si>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</si>
  <si>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</si>
  <si>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</si>
  <si>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</si>
  <si>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</si>
  <si>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</si>
  <si>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</si>
  <si>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</si>
  <si>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</si>
  <si>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</si>
  <si>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</si>
  <si>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</si>
  <si>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</si>
  <si>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</si>
  <si>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</si>
  <si>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</si>
  <si>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</si>
  <si>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</si>
  <si>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</si>
  <si>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</si>
  <si>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</si>
  <si>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</si>
  <si>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</si>
  <si>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</si>
  <si>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</si>
  <si>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</si>
  <si>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</si>
  <si>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</si>
  <si>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</si>
  <si>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</si>
  <si>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</si>
  <si>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</si>
  <si>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</si>
  <si>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</si>
  <si>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</si>
  <si>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</si>
  <si>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</si>
  <si>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</si>
  <si>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</si>
  <si>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</si>
  <si>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</si>
  <si>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</si>
  <si>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</si>
  <si>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</si>
  <si>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</si>
  <si>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</si>
  <si>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</si>
  <si>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</si>
  <si>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</si>
  <si>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</si>
  <si>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</si>
  <si>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</si>
  <si>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</si>
  <si>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</si>
  <si>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</si>
  <si>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</si>
  <si>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</si>
  <si>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</si>
  <si>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</si>
  <si>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</si>
  <si>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</si>
  <si>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</si>
  <si>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</si>
  <si>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</si>
  <si>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</si>
  <si>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</si>
  <si>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</si>
  <si>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</si>
  <si>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</si>
  <si>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</si>
  <si>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</si>
  <si>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</si>
  <si>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</si>
  <si>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</si>
  <si>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</si>
  <si>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</si>
  <si>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</si>
  <si>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</si>
  <si>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</si>
  <si>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</si>
  <si>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</si>
  <si>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</si>
  <si>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</si>
  <si>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</si>
  <si>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</si>
  <si>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</si>
  <si>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</si>
  <si>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</si>
  <si>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</si>
  <si>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</si>
  <si>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</si>
  <si>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</si>
  <si>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</si>
  <si>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</si>
  <si>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</si>
  <si>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</si>
  <si>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</si>
  <si>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</si>
  <si>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</si>
  <si>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</si>
  <si>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</si>
  <si>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</si>
  <si>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</si>
  <si>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</si>
  <si>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</si>
  <si>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</si>
  <si>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</si>
  <si>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</si>
  <si>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</si>
  <si>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</si>
  <si>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</si>
  <si>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</si>
  <si>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</si>
  <si>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</si>
  <si>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</si>
  <si>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</si>
  <si>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</si>
  <si>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</si>
  <si>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</si>
  <si>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</si>
  <si>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</si>
  <si>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</si>
  <si>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</si>
  <si>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</si>
  <si>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</si>
  <si>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</si>
  <si>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</si>
  <si>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</si>
  <si>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</si>
  <si>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</si>
  <si>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</si>
  <si>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</si>
  <si>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</si>
  <si>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</si>
  <si>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</si>
  <si>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</si>
  <si>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</si>
  <si>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</si>
  <si>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</si>
  <si>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</si>
  <si>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</si>
  <si>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</si>
  <si>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</si>
  <si>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</si>
  <si>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</si>
  <si>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</si>
  <si>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</si>
  <si>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</si>
  <si>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</si>
  <si>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</si>
  <si>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</si>
  <si>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</si>
  <si>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</si>
  <si>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</si>
  <si>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</si>
  <si>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</si>
  <si>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</si>
  <si>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</si>
  <si>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</si>
  <si>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</si>
  <si>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</si>
  <si>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</si>
  <si>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</si>
  <si>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</si>
  <si>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</si>
  <si>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</si>
  <si>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</si>
  <si>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</si>
  <si>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</si>
  <si>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</si>
  <si>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</si>
  <si>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</si>
  <si>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</si>
  <si>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</si>
  <si>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</si>
  <si>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</si>
  <si>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</si>
  <si>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</si>
  <si>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</si>
  <si>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</si>
  <si>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</si>
  <si>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</si>
  <si>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</si>
  <si>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</si>
  <si>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</si>
  <si>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</si>
  <si>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</si>
  <si>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</si>
  <si>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</si>
  <si>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</si>
  <si>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</si>
  <si>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</si>
  <si>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</si>
  <si>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</si>
  <si>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</si>
  <si>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</si>
  <si>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</si>
  <si>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</si>
  <si>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</si>
  <si>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</si>
  <si>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</si>
  <si>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</si>
  <si>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</si>
  <si>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</si>
  <si>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</si>
  <si>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</si>
  <si>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</si>
  <si>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</si>
  <si>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</si>
  <si>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</si>
  <si>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</si>
  <si>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</si>
  <si>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</si>
  <si>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</si>
  <si>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</si>
  <si>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</si>
  <si>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</si>
  <si>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</si>
  <si>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</si>
  <si>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</si>
  <si>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</si>
  <si>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</si>
  <si>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</si>
  <si>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</si>
  <si>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</si>
  <si>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</si>
  <si>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</si>
  <si>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</si>
  <si>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</si>
  <si>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</si>
  <si>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</si>
  <si>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</si>
  <si>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</si>
  <si>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</si>
  <si>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</si>
  <si>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</si>
  <si>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</si>
  <si>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</si>
  <si>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</si>
  <si>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</si>
  <si>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</si>
  <si>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</si>
  <si>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</si>
  <si>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</si>
  <si>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</si>
  <si>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</si>
  <si>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</si>
  <si>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</si>
  <si>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</si>
  <si>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</si>
  <si>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</si>
  <si>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</si>
  <si>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</si>
  <si>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</si>
  <si>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</si>
  <si>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</si>
  <si>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</si>
  <si>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</si>
  <si>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</si>
  <si>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</si>
  <si>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</si>
  <si>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</si>
  <si>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</si>
  <si>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</si>
  <si>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</si>
  <si>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</si>
  <si>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</si>
  <si>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</si>
  <si>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</si>
  <si>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</si>
  <si>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</si>
  <si>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</si>
  <si>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</si>
  <si>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</si>
  <si>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</si>
  <si>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</si>
  <si>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</si>
  <si>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</si>
  <si>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</si>
  <si>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</si>
  <si>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</si>
  <si>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</si>
  <si>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</si>
  <si>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</si>
  <si>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</si>
  <si>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</si>
  <si>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</si>
  <si>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</si>
  <si>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</si>
  <si>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</si>
  <si>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</si>
  <si>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</si>
  <si>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</si>
  <si>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</si>
  <si>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</si>
  <si>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</si>
  <si>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</si>
  <si>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</si>
  <si>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</si>
  <si>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</si>
  <si>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</si>
  <si>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</si>
  <si>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</si>
  <si>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</si>
  <si>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</si>
  <si>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</si>
  <si>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</si>
  <si>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</si>
  <si>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</si>
  <si>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</si>
  <si>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</si>
  <si>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</si>
  <si>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</si>
  <si>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</si>
  <si>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</si>
  <si>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</si>
  <si>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</si>
  <si>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</si>
  <si>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</si>
  <si>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</si>
  <si>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</si>
  <si>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</si>
  <si>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</si>
  <si>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</si>
  <si>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</si>
  <si>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</si>
  <si>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</si>
  <si>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</si>
  <si>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</si>
  <si>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</si>
  <si>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</si>
  <si>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</si>
  <si>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</si>
  <si>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</si>
  <si>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</si>
  <si>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</si>
  <si>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</si>
  <si>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</si>
  <si>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</si>
  <si>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</si>
  <si>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</si>
  <si>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</si>
  <si>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</si>
  <si>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</si>
  <si>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</si>
  <si>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</si>
  <si>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</si>
  <si>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</si>
  <si>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</si>
  <si>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</si>
  <si>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</si>
  <si>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</si>
  <si>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</si>
  <si>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</si>
  <si>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</si>
  <si>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</si>
  <si>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</si>
  <si>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</si>
  <si>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</si>
  <si>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</si>
  <si>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</si>
  <si>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</si>
  <si>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</si>
  <si>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</si>
  <si>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</si>
  <si>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</si>
  <si>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</si>
  <si>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</si>
  <si>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</si>
  <si>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</si>
  <si>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</si>
  <si>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</si>
  <si>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</si>
  <si>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</si>
  <si>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</si>
  <si>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</si>
  <si>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</si>
  <si>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</si>
  <si>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</si>
  <si>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</si>
  <si>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</si>
  <si>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</si>
  <si>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</si>
  <si>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</si>
  <si>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</si>
  <si>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</si>
  <si>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</si>
  <si>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</si>
  <si>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</si>
  <si>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</si>
  <si>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</si>
  <si>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</si>
  <si>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</si>
  <si>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</si>
  <si>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</si>
  <si>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</si>
  <si>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</si>
  <si>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</si>
  <si>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</si>
  <si>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</si>
  <si>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</si>
  <si>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</si>
  <si>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</si>
  <si>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</si>
  <si>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</si>
  <si>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</si>
  <si>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</si>
  <si>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</si>
  <si>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</si>
  <si>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</si>
  <si>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</si>
  <si>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</si>
  <si>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</si>
  <si>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</si>
  <si>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</si>
  <si>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</si>
  <si>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</si>
  <si>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</si>
  <si>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</si>
  <si>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</si>
  <si>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</si>
  <si>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</si>
  <si>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</si>
  <si>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</si>
  <si>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</si>
  <si>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</si>
  <si>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</si>
  <si>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</si>
  <si>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</si>
  <si>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</si>
  <si>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</si>
  <si>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</si>
  <si>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</si>
  <si>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</si>
  <si>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</si>
  <si>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</si>
  <si>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</si>
  <si>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</si>
  <si>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</si>
  <si>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</si>
  <si>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</si>
  <si>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</si>
  <si>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</si>
  <si>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</si>
  <si>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</si>
  <si>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</si>
  <si>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</si>
  <si>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</si>
  <si>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</si>
  <si>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</si>
  <si>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</si>
  <si>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</si>
  <si>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</si>
  <si>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</si>
  <si>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</si>
  <si>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</si>
  <si>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</si>
  <si>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</si>
  <si>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</si>
  <si>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</si>
  <si>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</si>
  <si>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</si>
  <si>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</si>
  <si>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</si>
  <si>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</si>
  <si>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</si>
  <si>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</si>
  <si>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</si>
  <si>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</si>
  <si>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</si>
  <si>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</si>
  <si>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</si>
  <si>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</si>
  <si>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</si>
  <si>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</si>
  <si>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</si>
  <si>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</si>
  <si>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</si>
  <si>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</si>
  <si>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</si>
  <si>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</si>
  <si>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</si>
  <si>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</si>
  <si>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</si>
  <si>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</si>
  <si>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</si>
  <si>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</si>
  <si>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</si>
  <si>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</si>
  <si>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</si>
  <si>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</si>
  <si>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</si>
  <si>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</si>
  <si>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</si>
  <si>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</si>
  <si>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</si>
  <si>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</si>
  <si>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</si>
  <si>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</si>
  <si>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</si>
  <si>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</si>
  <si>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</si>
  <si>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</si>
  <si>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</si>
  <si>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</si>
  <si>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</si>
  <si>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</si>
  <si>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</si>
  <si>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</si>
  <si>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</si>
  <si>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</si>
  <si>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</si>
  <si>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</si>
  <si>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</si>
  <si>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</si>
  <si>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</si>
  <si>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</si>
  <si>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</si>
  <si>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</si>
  <si>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</si>
  <si>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</si>
  <si>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</si>
  <si>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</si>
  <si>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</si>
  <si>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</si>
  <si>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</si>
  <si>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</si>
  <si>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</si>
  <si>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</si>
  <si>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</si>
  <si>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</si>
  <si>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</si>
  <si>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</si>
  <si>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</si>
  <si>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</si>
  <si>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</si>
  <si>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</si>
  <si>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</si>
  <si>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</si>
  <si>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</si>
  <si>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</si>
  <si>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</si>
  <si>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</si>
  <si>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</si>
  <si>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</si>
  <si>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</si>
  <si>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</si>
  <si>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</si>
  <si>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</si>
  <si>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</si>
  <si>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</si>
  <si>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</si>
  <si>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</si>
  <si>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</si>
  <si>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</si>
  <si>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</si>
  <si>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</si>
  <si>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</si>
  <si>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</si>
  <si>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</si>
  <si>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</si>
  <si>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</si>
  <si>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</si>
  <si>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</si>
  <si>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</si>
  <si>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</si>
  <si>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</si>
  <si>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</si>
  <si>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</si>
  <si>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</si>
  <si>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</si>
  <si>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</si>
  <si>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</si>
  <si>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</si>
  <si>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</si>
  <si>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</si>
  <si>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</si>
  <si>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</si>
  <si>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</si>
  <si>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</si>
  <si>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</si>
  <si>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</si>
  <si>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</si>
  <si>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</si>
  <si>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</si>
  <si>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</si>
  <si>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</si>
  <si>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</si>
  <si>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</si>
  <si>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</si>
  <si>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</si>
  <si>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</si>
  <si>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</si>
  <si>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</si>
  <si>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</si>
  <si>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</si>
  <si>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</si>
  <si>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</si>
  <si>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</si>
  <si>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</si>
  <si>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</si>
  <si>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</si>
  <si>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</si>
  <si>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</si>
  <si>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</si>
  <si>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</si>
  <si>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</si>
  <si>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</si>
  <si>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</si>
  <si>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</si>
  <si>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</si>
  <si>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</si>
  <si>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</si>
  <si>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</si>
  <si>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</si>
  <si>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</si>
  <si>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</si>
  <si>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</si>
  <si>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</si>
  <si>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</si>
  <si>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</si>
  <si>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</si>
  <si>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</si>
  <si>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</si>
  <si>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</si>
  <si>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</si>
  <si>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</si>
  <si>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</si>
  <si>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</si>
  <si>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</si>
  <si>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</si>
  <si>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</si>
  <si>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</si>
  <si>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</si>
  <si>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</si>
  <si>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</si>
  <si>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</si>
  <si>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</si>
  <si>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</si>
  <si>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</si>
  <si>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</si>
  <si>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</si>
  <si>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</si>
  <si>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</si>
  <si>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</si>
  <si>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</si>
  <si>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</si>
  <si>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</si>
  <si>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</si>
  <si>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</si>
  <si>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</si>
  <si>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</si>
  <si>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</si>
  <si>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</si>
  <si>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</si>
  <si>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</si>
  <si>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</si>
  <si>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</si>
  <si>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</si>
  <si>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</si>
  <si>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</si>
  <si>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</si>
  <si>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</si>
  <si>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</si>
  <si>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</si>
  <si>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</si>
  <si>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</si>
  <si>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</si>
  <si>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</si>
  <si>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</si>
  <si>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</si>
  <si>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</si>
  <si>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</si>
  <si>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</si>
  <si>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</si>
  <si>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</si>
  <si>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</si>
  <si>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</si>
  <si>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</si>
  <si>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</si>
  <si>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</si>
  <si>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</si>
  <si>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</si>
  <si>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</si>
  <si>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</si>
  <si>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</si>
  <si>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</si>
  <si>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</si>
  <si>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</si>
  <si>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</si>
  <si>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</si>
  <si>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</si>
  <si>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</si>
  <si>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</si>
  <si>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</si>
  <si>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</si>
  <si>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</si>
  <si>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</si>
  <si>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</si>
  <si>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</si>
  <si>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</si>
  <si>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</si>
  <si>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</si>
  <si>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</si>
  <si>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</si>
  <si>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</si>
  <si>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</si>
  <si>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</si>
  <si>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</si>
  <si>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</si>
  <si>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</si>
  <si>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</si>
  <si>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</si>
  <si>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</si>
  <si>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</si>
  <si>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</si>
  <si>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</si>
  <si>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</si>
  <si>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</si>
  <si>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</si>
  <si>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</si>
  <si>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</si>
  <si>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</si>
  <si>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</si>
  <si>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</si>
  <si>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</si>
  <si>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</si>
  <si>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</si>
  <si>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</si>
  <si>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</si>
  <si>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</si>
  <si>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</si>
  <si>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</si>
  <si>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</si>
  <si>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</si>
  <si>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</si>
  <si>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</si>
  <si>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</si>
  <si>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</si>
  <si>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</si>
  <si>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</si>
  <si>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</si>
  <si>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</si>
  <si>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</si>
  <si>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</si>
  <si>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</si>
  <si>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</si>
  <si>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</si>
  <si>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</si>
  <si>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</si>
  <si>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</si>
  <si>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</si>
  <si>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</si>
  <si>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</si>
  <si>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</si>
  <si>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</si>
  <si>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</si>
  <si>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</si>
  <si>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</si>
  <si>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</si>
  <si>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</si>
  <si>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</si>
  <si>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</si>
  <si>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</si>
  <si>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</si>
  <si>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</si>
  <si>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</si>
  <si>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</si>
  <si>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</si>
  <si>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</si>
  <si>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</si>
  <si>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</si>
  <si>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</si>
  <si>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</si>
  <si>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</si>
  <si>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</si>
  <si>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</si>
  <si>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</si>
  <si>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</si>
  <si>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</si>
  <si>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</si>
  <si>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</si>
  <si>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</si>
  <si>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</si>
  <si>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</si>
  <si>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</si>
  <si>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</si>
  <si>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</si>
  <si>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</si>
  <si>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</si>
  <si>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</si>
  <si>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</si>
  <si>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</si>
  <si>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</si>
  <si>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</si>
  <si>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</si>
  <si>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</si>
  <si>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</si>
  <si>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</si>
  <si>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</si>
  <si>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</si>
  <si>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</si>
  <si>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</si>
  <si>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</si>
  <si>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</si>
  <si>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</si>
  <si>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</si>
  <si>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</si>
  <si>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</si>
  <si>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</si>
  <si>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</si>
  <si>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</si>
  <si>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</si>
  <si>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</si>
  <si>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</si>
  <si>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</si>
  <si>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</si>
  <si>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</si>
  <si>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</si>
  <si>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</si>
  <si>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</si>
  <si>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</si>
  <si>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</si>
  <si>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</si>
  <si>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</si>
  <si>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</si>
  <si>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</si>
  <si>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</si>
  <si>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</si>
  <si>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</si>
  <si>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</si>
  <si>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</si>
  <si>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</si>
  <si>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</si>
  <si>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</si>
  <si>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</si>
  <si>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</si>
  <si>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</si>
  <si>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</si>
  <si>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</si>
  <si>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</si>
  <si>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</si>
  <si>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</si>
  <si>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</si>
  <si>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</si>
  <si>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</si>
  <si>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</si>
  <si>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</si>
  <si>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</si>
  <si>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</si>
  <si>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</si>
  <si>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</si>
  <si>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</si>
  <si>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</si>
  <si>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</si>
  <si>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</si>
  <si>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</si>
  <si>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</si>
  <si>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</si>
  <si>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</si>
  <si>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</si>
  <si>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</si>
  <si>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</si>
  <si>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</si>
  <si>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</si>
  <si>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</si>
  <si>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</si>
  <si>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</si>
  <si>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</si>
  <si>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</si>
  <si>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</si>
  <si>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</si>
  <si>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</si>
  <si>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</si>
  <si>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</si>
  <si>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</si>
  <si>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</si>
  <si>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</si>
  <si>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</si>
  <si>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</si>
  <si>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</si>
  <si>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</si>
  <si>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</si>
  <si>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</si>
  <si>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</si>
  <si>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</si>
  <si>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</si>
  <si>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</si>
  <si>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</si>
  <si>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</si>
  <si>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</si>
  <si>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</si>
  <si>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</si>
  <si>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</si>
  <si>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</si>
  <si>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</si>
  <si>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</si>
  <si>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</si>
  <si>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</si>
  <si>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</si>
  <si>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</si>
  <si>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</si>
  <si>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</si>
  <si>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</si>
  <si>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</si>
  <si>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</si>
  <si>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</si>
  <si>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</si>
  <si>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</si>
  <si>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</si>
  <si>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</si>
  <si>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</si>
  <si>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</si>
  <si>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</si>
  <si>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</si>
  <si>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</si>
  <si>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</si>
  <si>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</si>
  <si>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</si>
  <si>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</si>
  <si>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</si>
  <si>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</si>
  <si>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</si>
  <si>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</si>
  <si>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</si>
  <si>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</si>
  <si>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</si>
  <si>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</si>
  <si>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</si>
  <si>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</si>
  <si>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</si>
  <si>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</si>
  <si>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</si>
  <si>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</si>
  <si>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</si>
  <si>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</si>
  <si>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</si>
  <si>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</si>
  <si>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</si>
  <si>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</si>
  <si>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</si>
  <si>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</si>
  <si>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</si>
  <si>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</si>
  <si>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</si>
  <si>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</si>
  <si>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</si>
  <si>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</si>
  <si>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</si>
  <si>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</si>
  <si>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</si>
  <si>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</si>
  <si>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</si>
  <si>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</si>
  <si>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</si>
  <si>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</si>
  <si>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</si>
  <si>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</si>
  <si>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</si>
  <si>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</si>
  <si>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</si>
  <si>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</si>
  <si>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</si>
  <si>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</si>
  <si>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</si>
  <si>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</si>
  <si>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</si>
  <si>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</si>
  <si>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</si>
  <si>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</si>
  <si>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</si>
  <si>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</si>
  <si>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</si>
  <si>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</si>
  <si>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</si>
  <si>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</si>
  <si>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</si>
  <si>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</si>
  <si>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</si>
  <si>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</si>
  <si>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</si>
  <si>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</si>
  <si>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</si>
  <si>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</si>
  <si>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</si>
  <si>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</si>
  <si>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</si>
  <si>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</si>
  <si>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</si>
  <si>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</si>
  <si>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</si>
  <si>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</si>
  <si>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</si>
  <si>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</si>
  <si>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</si>
  <si>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</si>
  <si>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</si>
  <si>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</si>
  <si>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</si>
  <si>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</si>
  <si>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</si>
  <si>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</si>
  <si>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</si>
  <si>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</si>
  <si>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</si>
  <si>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</si>
  <si>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</si>
  <si>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</si>
  <si>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</si>
  <si>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</si>
  <si>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</si>
  <si>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</si>
  <si>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</si>
  <si>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</si>
  <si>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</si>
  <si>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</si>
  <si>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</si>
  <si>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</si>
  <si>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</si>
  <si>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</si>
  <si>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</si>
  <si>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</si>
  <si>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</si>
  <si>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</si>
  <si>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</si>
  <si>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</si>
  <si>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</si>
  <si>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</si>
  <si>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</si>
  <si>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</si>
  <si>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</si>
  <si>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</si>
  <si>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</si>
  <si>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</si>
  <si>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</si>
  <si>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</si>
  <si>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</si>
  <si>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</si>
  <si>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</si>
  <si>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</si>
  <si>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</si>
  <si>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</si>
  <si>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</si>
  <si>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</si>
  <si>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</si>
  <si>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</si>
  <si>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</si>
  <si>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</si>
  <si>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</si>
  <si>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</si>
  <si>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</si>
  <si>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</si>
  <si>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</si>
  <si>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</si>
  <si>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</si>
  <si>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</si>
  <si>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</si>
  <si>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</si>
  <si>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</si>
  <si>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</si>
  <si>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</si>
  <si>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</si>
  <si>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</si>
  <si>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</si>
  <si>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</si>
  <si>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</si>
  <si>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</si>
  <si>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</si>
  <si>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</si>
  <si>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</si>
  <si>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</si>
  <si>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</si>
  <si>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</si>
  <si>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</si>
  <si>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</si>
  <si>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</si>
  <si>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</si>
  <si>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</si>
  <si>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</si>
  <si>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</si>
  <si>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</si>
  <si>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</si>
  <si>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</si>
  <si>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</si>
  <si>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</si>
  <si>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</si>
  <si>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</si>
  <si>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</si>
  <si>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</si>
  <si>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</si>
  <si>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</si>
  <si>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</si>
  <si>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</si>
  <si>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</si>
  <si>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</si>
  <si>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</si>
  <si>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</si>
  <si>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</si>
  <si>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</si>
  <si>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</si>
  <si>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</si>
  <si>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</si>
  <si>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</si>
  <si>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</si>
  <si>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</si>
  <si>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</si>
  <si>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</si>
  <si>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</si>
  <si>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</si>
  <si>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</si>
  <si>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</si>
  <si>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</si>
  <si>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</si>
  <si>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</si>
  <si>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</si>
  <si>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</si>
  <si>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</si>
  <si>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</si>
  <si>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</si>
  <si>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</si>
  <si>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</si>
  <si>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</si>
  <si>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</si>
  <si>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</si>
  <si>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</si>
  <si>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</si>
  <si>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</si>
  <si>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</si>
  <si>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</si>
  <si>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</si>
  <si>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</si>
  <si>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</si>
  <si>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</si>
  <si>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</si>
  <si>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</si>
  <si>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</si>
  <si>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</si>
  <si>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</si>
  <si>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</si>
  <si>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</si>
  <si>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</si>
  <si>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</si>
  <si>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</si>
  <si>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</si>
  <si>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</si>
  <si>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</si>
  <si>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</si>
  <si>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</si>
  <si>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</si>
  <si>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</si>
  <si>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</si>
  <si>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</si>
  <si>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</si>
  <si>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</si>
  <si>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</si>
  <si>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</si>
  <si>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</si>
  <si>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</si>
  <si>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</si>
  <si>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</si>
  <si>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</si>
  <si>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</si>
  <si>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</si>
  <si>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</si>
  <si>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</si>
  <si>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</si>
  <si>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</si>
  <si>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</si>
  <si>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</si>
  <si>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</si>
  <si>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</si>
  <si>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</si>
  <si>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</si>
  <si>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</si>
  <si>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</si>
  <si>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</si>
  <si>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</si>
  <si>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</si>
  <si>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</si>
  <si>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</si>
  <si>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</si>
  <si>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</si>
  <si>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</si>
  <si>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</si>
  <si>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</si>
  <si>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</si>
  <si>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</si>
  <si>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</si>
  <si>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</si>
  <si>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</si>
  <si>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</si>
  <si>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</si>
  <si>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</si>
  <si>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</si>
  <si>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</si>
  <si>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</si>
  <si>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</si>
  <si>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</si>
  <si>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</si>
  <si>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</si>
  <si>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</si>
  <si>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</si>
  <si>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</si>
  <si>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</si>
  <si>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</si>
  <si>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</si>
  <si>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</si>
  <si>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</si>
  <si>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</si>
  <si>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</si>
  <si>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</si>
  <si>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</si>
  <si>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</si>
  <si>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</si>
  <si>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</si>
  <si>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</si>
  <si>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</si>
  <si>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</si>
  <si>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</si>
  <si>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</si>
  <si>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</si>
  <si>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</si>
  <si>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</si>
  <si>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</si>
  <si>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</si>
  <si>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</si>
  <si>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</si>
  <si>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</si>
  <si>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</si>
  <si>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</si>
  <si>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</si>
  <si>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</si>
  <si>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</si>
  <si>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</si>
  <si>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</si>
  <si>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</si>
  <si>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</si>
  <si>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</si>
  <si>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</si>
  <si>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</si>
  <si>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</si>
  <si>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</si>
  <si>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</si>
  <si>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</si>
  <si>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</si>
  <si>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</si>
  <si>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</si>
  <si>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</si>
  <si>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</si>
  <si>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</si>
  <si>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</si>
  <si>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</si>
  <si>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</si>
  <si>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</si>
  <si>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</si>
  <si>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</si>
  <si>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</si>
  <si>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</si>
  <si>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</si>
  <si>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</si>
  <si>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</si>
  <si>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</si>
  <si>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</si>
  <si>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</si>
  <si>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</si>
  <si>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</si>
  <si>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</si>
  <si>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</si>
  <si>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</si>
  <si>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</si>
  <si>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</si>
  <si>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</si>
  <si>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</si>
  <si>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</si>
  <si>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</si>
  <si>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</si>
  <si>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</si>
  <si>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</si>
  <si>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</si>
  <si>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</si>
  <si>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</si>
  <si>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</si>
  <si>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</si>
  <si>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</si>
  <si>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</si>
  <si>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</si>
  <si>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</si>
  <si>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</si>
  <si>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</si>
  <si>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</si>
  <si>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</si>
  <si>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</si>
  <si>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</si>
  <si>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</si>
  <si>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</si>
  <si>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</si>
  <si>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</si>
  <si>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</si>
  <si>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</si>
  <si>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</si>
  <si>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</si>
  <si>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</si>
  <si>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</si>
  <si>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</si>
  <si>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</si>
  <si>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</si>
  <si>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</si>
  <si>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</si>
  <si>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</si>
  <si>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</si>
  <si>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</si>
  <si>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</si>
  <si>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</si>
  <si>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</si>
  <si>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</si>
  <si>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</si>
  <si>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</si>
  <si>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</si>
  <si>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</si>
  <si>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</si>
  <si>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</si>
  <si>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</si>
  <si>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</si>
  <si>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</si>
  <si>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</si>
  <si>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</si>
  <si>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</si>
  <si>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</si>
  <si>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</si>
  <si>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</si>
  <si>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</si>
  <si>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</si>
  <si>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</si>
  <si>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</si>
  <si>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</si>
  <si>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</si>
  <si>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</si>
  <si>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</si>
  <si>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</si>
  <si>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</si>
  <si>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</si>
  <si>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</si>
  <si>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</si>
  <si>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</si>
  <si>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</si>
  <si>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</si>
  <si>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</si>
  <si>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</si>
  <si>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</si>
  <si>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</si>
  <si>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</si>
  <si>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</si>
  <si>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</si>
  <si>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</si>
  <si>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</si>
  <si>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</si>
  <si>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</si>
  <si>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</si>
  <si>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</si>
  <si>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</si>
  <si>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</si>
  <si>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</si>
  <si>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</si>
  <si>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</si>
  <si>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</si>
  <si>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</si>
  <si>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</si>
  <si>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</si>
  <si>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</si>
  <si>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</si>
  <si>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</si>
  <si>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</si>
  <si>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</si>
  <si>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</si>
  <si>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</si>
  <si>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</si>
  <si>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</si>
  <si>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</si>
  <si>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</si>
  <si>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</si>
  <si>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</si>
  <si>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</si>
  <si>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</si>
  <si>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</si>
  <si>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</si>
  <si>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</si>
  <si>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</si>
  <si>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</si>
  <si>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</si>
  <si>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</si>
  <si>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</si>
  <si>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</si>
  <si>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</si>
  <si>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</si>
  <si>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</si>
  <si>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</si>
  <si>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</si>
  <si>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</si>
  <si>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</si>
  <si>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</si>
  <si>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</si>
  <si>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</si>
  <si>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</si>
  <si>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</si>
  <si>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</si>
  <si>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</si>
  <si>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</si>
  <si>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</si>
  <si>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</si>
  <si>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</si>
  <si>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</si>
  <si>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</si>
  <si>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</si>
  <si>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</si>
  <si>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</si>
  <si>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</si>
  <si>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</si>
  <si>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</si>
  <si>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</si>
  <si>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</si>
  <si>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</si>
  <si>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</si>
  <si>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</si>
  <si>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</si>
  <si>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</si>
  <si>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</si>
  <si>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</si>
  <si>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</si>
  <si>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</si>
  <si>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</si>
  <si>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</si>
  <si>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</si>
  <si>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</si>
  <si>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</si>
  <si>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</si>
  <si>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</si>
  <si>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</si>
  <si>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</si>
  <si>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</si>
  <si>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</si>
  <si>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</si>
  <si>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</si>
  <si>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</si>
  <si>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</si>
  <si>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</si>
  <si>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</si>
  <si>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</si>
  <si>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</si>
  <si>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</si>
  <si>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</si>
  <si>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</si>
  <si>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</si>
  <si>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</si>
  <si>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</si>
  <si>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</si>
  <si>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</si>
  <si>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</si>
  <si>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</si>
  <si>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</si>
  <si>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</si>
  <si>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</si>
  <si>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</si>
  <si>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</si>
  <si>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</si>
  <si>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</si>
  <si>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</si>
  <si>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</si>
  <si>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</si>
  <si>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</si>
  <si>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</si>
  <si>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</si>
  <si>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</si>
  <si>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</si>
  <si>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</si>
  <si>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</si>
  <si>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</si>
  <si>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</si>
  <si>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</si>
  <si>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</si>
  <si>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</si>
  <si>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</si>
  <si>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</si>
  <si>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</si>
  <si>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</si>
  <si>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</si>
  <si>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</si>
  <si>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</si>
  <si>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</si>
  <si>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</si>
  <si>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</si>
  <si>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</si>
  <si>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</si>
  <si>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</si>
  <si>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</si>
  <si>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</si>
  <si>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</si>
  <si>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</si>
  <si>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</si>
  <si>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</si>
  <si>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</si>
  <si>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</si>
  <si>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</si>
  <si>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</si>
  <si>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</si>
  <si>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</si>
  <si>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</si>
  <si>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</si>
  <si>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</si>
  <si>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</si>
  <si>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</si>
  <si>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</si>
  <si>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</si>
  <si>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</si>
  <si>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</si>
  <si>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</si>
  <si>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</si>
  <si>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</si>
  <si>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</si>
  <si>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</si>
  <si>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</si>
  <si>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</si>
  <si>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</si>
  <si>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</si>
  <si>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</si>
  <si>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</si>
  <si>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</si>
  <si>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</si>
  <si>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</si>
  <si>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</si>
  <si>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</si>
  <si>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</si>
  <si>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</si>
  <si>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</si>
  <si>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</si>
  <si>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</si>
  <si>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</si>
  <si>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</si>
  <si>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</si>
  <si>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</si>
  <si>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</si>
  <si>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</si>
  <si>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</si>
  <si>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</si>
  <si>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</si>
  <si>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</si>
  <si>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</si>
  <si>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</si>
  <si>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</si>
  <si>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</si>
  <si>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</si>
  <si>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</si>
  <si>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</si>
  <si>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</si>
  <si>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</si>
  <si>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</si>
  <si>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</si>
  <si>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</si>
  <si>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</si>
  <si>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</si>
  <si>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</si>
  <si>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</si>
  <si>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</si>
  <si>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</si>
  <si>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</si>
  <si>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</si>
  <si>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</si>
  <si>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</si>
  <si>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</si>
  <si>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</si>
  <si>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</si>
  <si>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</si>
  <si>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</si>
  <si>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</si>
  <si>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</si>
  <si>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</si>
  <si>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</si>
  <si>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</si>
  <si>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</si>
  <si>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</si>
  <si>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</si>
  <si>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</si>
  <si>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</si>
  <si>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</si>
  <si>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</si>
  <si>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</si>
  <si>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</si>
  <si>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</si>
  <si>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</si>
  <si>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</si>
  <si>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</si>
  <si>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</si>
  <si>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</si>
  <si>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</si>
  <si>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</si>
  <si>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</si>
  <si>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</si>
  <si>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</si>
  <si>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</si>
  <si>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</si>
  <si>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</si>
  <si>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</si>
  <si>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</si>
  <si>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</si>
  <si>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</si>
  <si>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</si>
  <si>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</si>
  <si>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</si>
  <si>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</si>
  <si>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</si>
  <si>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</si>
  <si>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</si>
  <si>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</si>
  <si>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</si>
  <si>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</si>
  <si>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</si>
  <si>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</si>
  <si>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</si>
  <si>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</si>
  <si>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</si>
  <si>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</si>
  <si>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</si>
  <si>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</si>
  <si>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</si>
  <si>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</si>
  <si>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</si>
  <si>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</si>
  <si>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</si>
  <si>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</si>
  <si>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</si>
  <si>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</si>
  <si>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</si>
  <si>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</si>
  <si>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</si>
  <si>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</si>
  <si>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</si>
  <si>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</si>
  <si>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</si>
  <si>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</si>
  <si>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</si>
  <si>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</si>
  <si>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</si>
  <si>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</si>
  <si>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</si>
  <si>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</si>
  <si>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</si>
  <si>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</si>
  <si>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</si>
  <si>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</si>
  <si>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</si>
  <si>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</si>
  <si>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</si>
  <si>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</si>
  <si>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</si>
  <si>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</si>
  <si>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</si>
  <si>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</si>
  <si>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</si>
  <si>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</si>
  <si>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</si>
  <si>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</si>
  <si>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</si>
  <si>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</si>
  <si>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</si>
  <si>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</si>
  <si>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</si>
  <si>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</si>
  <si>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</si>
  <si>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</si>
  <si>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</si>
  <si>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</si>
  <si>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</si>
  <si>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</si>
  <si>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</si>
  <si>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</si>
  <si>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</si>
  <si>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</si>
  <si>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</si>
  <si>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</si>
  <si>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</si>
  <si>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</si>
  <si>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</si>
  <si>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</si>
  <si>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</si>
  <si>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</si>
  <si>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</si>
  <si>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</si>
  <si>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</si>
  <si>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</si>
  <si>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</si>
  <si>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</si>
  <si>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</si>
  <si>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</si>
  <si>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</si>
  <si>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</si>
  <si>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</si>
  <si>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</si>
  <si>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</si>
  <si>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</si>
  <si>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</si>
  <si>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</si>
  <si>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</si>
  <si>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</si>
  <si>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</si>
  <si>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</si>
  <si>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</si>
  <si>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</si>
  <si>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</si>
  <si>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</si>
  <si>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</si>
  <si>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</si>
  <si>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</si>
  <si>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</si>
  <si>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</si>
  <si>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</si>
  <si>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</si>
  <si>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</si>
  <si>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</si>
  <si>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</si>
  <si>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</si>
  <si>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</si>
  <si>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</si>
  <si>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</si>
  <si>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</si>
  <si>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</si>
  <si>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</si>
  <si>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</si>
  <si>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</si>
  <si>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</si>
  <si>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</si>
  <si>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</si>
  <si>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</si>
  <si>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</si>
  <si>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</si>
  <si>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</si>
  <si>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</si>
  <si>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</si>
  <si>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</si>
  <si>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</si>
  <si>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</si>
  <si>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</si>
  <si>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</si>
  <si>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</si>
  <si>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</si>
  <si>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</si>
  <si>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</si>
  <si>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</si>
  <si>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</si>
  <si>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</si>
  <si>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</si>
  <si>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</si>
  <si>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</si>
  <si>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</si>
  <si>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</si>
  <si>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</si>
  <si>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</si>
  <si>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</si>
  <si>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</si>
  <si>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</si>
  <si>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</si>
  <si>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</si>
  <si>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</si>
  <si>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</si>
  <si>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</si>
  <si>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</si>
  <si>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</si>
  <si>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</si>
  <si>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</si>
  <si>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</si>
  <si>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</si>
  <si>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</si>
  <si>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</si>
  <si>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</si>
  <si>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</si>
  <si>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</si>
  <si>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</si>
  <si>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</si>
  <si>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</si>
  <si>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</si>
  <si>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</si>
  <si>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</si>
  <si>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</si>
  <si>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</si>
  <si>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</si>
  <si>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</si>
  <si>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</si>
  <si>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</si>
  <si>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</si>
  <si>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</si>
  <si>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</si>
  <si>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</si>
  <si>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</si>
  <si>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</si>
  <si>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</si>
  <si>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</si>
  <si>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</si>
  <si>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</si>
  <si>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</si>
  <si>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</si>
  <si>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</si>
  <si>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</si>
  <si>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</si>
  <si>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</si>
  <si>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</si>
  <si>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</si>
  <si>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</si>
  <si>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</si>
  <si>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</si>
  <si>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</si>
  <si>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</si>
  <si>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</si>
  <si>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</si>
  <si>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</si>
  <si>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</si>
  <si>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</si>
  <si>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</si>
  <si>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</si>
  <si>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</si>
  <si>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</si>
  <si>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</si>
  <si>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</si>
  <si>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</si>
  <si>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</si>
  <si>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</si>
  <si>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</si>
  <si>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</si>
  <si>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</si>
  <si>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</si>
  <si>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</si>
  <si>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</si>
  <si>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</si>
  <si>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</si>
  <si>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</si>
  <si>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</si>
  <si>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</si>
  <si>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</si>
  <si>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</si>
  <si>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</si>
  <si>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</si>
  <si>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</si>
  <si>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</si>
  <si>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</si>
  <si>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</si>
  <si>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</si>
  <si>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</si>
  <si>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</si>
  <si>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</si>
  <si>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</si>
  <si>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</si>
  <si>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</si>
  <si>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</si>
  <si>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</si>
  <si>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</si>
  <si>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</si>
  <si>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</si>
  <si>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</si>
  <si>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</si>
  <si>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</si>
  <si>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</si>
  <si>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</si>
  <si>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</si>
  <si>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</si>
  <si>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</si>
  <si>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</si>
  <si>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</si>
  <si>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</si>
  <si>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</si>
  <si>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</si>
  <si>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</si>
  <si>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</si>
  <si>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</si>
  <si>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</si>
  <si>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</si>
  <si>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</si>
  <si>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</si>
  <si>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</si>
  <si>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</si>
  <si>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</si>
  <si>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</si>
  <si>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</si>
  <si>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</si>
  <si>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</si>
  <si>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</si>
  <si>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</si>
  <si>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</si>
  <si>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</si>
  <si>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</si>
  <si>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</si>
  <si>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</si>
  <si>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</si>
  <si>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</si>
  <si>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</si>
  <si>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</si>
  <si>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</si>
  <si>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</si>
  <si>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</si>
  <si>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</si>
  <si>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</si>
  <si>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</si>
  <si>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</si>
  <si>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</si>
  <si>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</si>
  <si>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</si>
  <si>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</si>
  <si>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</si>
  <si>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</si>
  <si>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</si>
  <si>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</si>
  <si>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</si>
  <si>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</si>
  <si>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</si>
  <si>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</si>
  <si>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</si>
  <si>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</si>
  <si>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</si>
  <si>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</si>
  <si>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</si>
  <si>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</si>
  <si>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</si>
  <si>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</si>
  <si>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</si>
  <si>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</si>
  <si>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</si>
  <si>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</si>
  <si>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</si>
  <si>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</si>
  <si>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</si>
  <si>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</si>
  <si>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</si>
  <si>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</si>
  <si>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</si>
  <si>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</si>
  <si>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</si>
  <si>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</si>
  <si>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</si>
  <si>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</si>
  <si>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</si>
  <si>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</si>
  <si>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</si>
  <si>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</si>
  <si>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</si>
  <si>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</si>
  <si>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</si>
  <si>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</si>
  <si>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</si>
  <si>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</si>
  <si>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</si>
  <si>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</si>
  <si>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</si>
  <si>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</si>
  <si>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</si>
  <si>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</si>
  <si>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</si>
  <si>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</si>
  <si>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</si>
  <si>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</si>
  <si>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</si>
  <si>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</si>
  <si>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</si>
  <si>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</si>
  <si>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</si>
  <si>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</si>
  <si>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</si>
  <si>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</si>
  <si>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</si>
  <si>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</si>
  <si>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</si>
  <si>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</si>
  <si>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</si>
  <si>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</si>
  <si>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</si>
  <si>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</si>
  <si>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</si>
  <si>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</si>
  <si>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</si>
  <si>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</si>
  <si>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</si>
  <si>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</si>
  <si>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</si>
  <si>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</si>
  <si>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</si>
  <si>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</si>
  <si>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</si>
  <si>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</si>
  <si>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</si>
  <si>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</si>
  <si>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</si>
  <si>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</si>
  <si>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</si>
  <si>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</si>
  <si>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</si>
  <si>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</si>
  <si>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</si>
  <si>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</si>
  <si>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</si>
  <si>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</si>
  <si>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</si>
  <si>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</si>
  <si>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</si>
  <si>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</si>
  <si>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</si>
  <si>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</si>
  <si>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</si>
  <si>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</si>
  <si>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</si>
  <si>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</si>
  <si>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</si>
  <si>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</si>
  <si>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</si>
  <si>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</si>
  <si>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</si>
  <si>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</si>
  <si>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</si>
  <si>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</si>
  <si>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</si>
  <si>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</si>
  <si>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</si>
  <si>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</si>
  <si>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</si>
  <si>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</si>
  <si>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</si>
  <si>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</si>
  <si>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</si>
  <si>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</si>
  <si>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</si>
  <si>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</si>
  <si>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</si>
  <si>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</si>
  <si>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</si>
  <si>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</si>
  <si>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</si>
  <si>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</si>
  <si>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</si>
  <si>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</si>
  <si>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</si>
  <si>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</si>
  <si>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</si>
  <si>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</si>
  <si>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</si>
  <si>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</si>
  <si>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</si>
  <si>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</si>
  <si>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</si>
  <si>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</si>
  <si>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</si>
  <si>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</si>
  <si>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</si>
  <si>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</si>
  <si>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</si>
  <si>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</si>
  <si>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</si>
  <si>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</si>
  <si>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</si>
  <si>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</si>
  <si>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</si>
  <si>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</si>
  <si>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</si>
  <si>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</si>
  <si>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</si>
  <si>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</si>
  <si>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</si>
  <si>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</si>
  <si>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</si>
  <si>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</si>
  <si>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</si>
  <si>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</si>
  <si>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</si>
  <si>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</si>
  <si>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</si>
  <si>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</si>
  <si>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</si>
  <si>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</si>
  <si>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</si>
  <si>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</si>
  <si>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</si>
  <si>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</si>
  <si>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</si>
  <si>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</si>
  <si>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</si>
  <si>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</si>
  <si>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</si>
  <si>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</si>
  <si>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</si>
  <si>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</si>
  <si>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</si>
  <si>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</si>
  <si>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</si>
  <si>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</si>
  <si>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</si>
  <si>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</si>
  <si>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</si>
  <si>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</si>
  <si>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</si>
  <si>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</si>
  <si>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</si>
  <si>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</si>
  <si>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</si>
  <si>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</si>
  <si>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</si>
  <si>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</si>
  <si>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</si>
  <si>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</si>
  <si>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</si>
  <si>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</si>
  <si>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</si>
  <si>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</si>
  <si>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</si>
  <si>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</si>
  <si>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</si>
  <si>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</si>
  <si>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</si>
  <si>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</si>
  <si>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</si>
  <si>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</si>
  <si>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</si>
  <si>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</si>
  <si>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</si>
  <si>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</si>
  <si>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</si>
  <si>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</si>
  <si>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</si>
  <si>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</si>
  <si>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</si>
  <si>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</si>
  <si>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</si>
  <si>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</si>
  <si>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</si>
  <si>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</si>
  <si>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</si>
  <si>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</si>
  <si>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</si>
  <si>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</si>
  <si>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</si>
  <si>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</si>
  <si>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</si>
  <si>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</si>
  <si>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</si>
  <si>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</si>
  <si>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</si>
  <si>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</si>
  <si>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</si>
  <si>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</si>
  <si>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</si>
  <si>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</si>
  <si>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</si>
  <si>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</si>
  <si>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</si>
  <si>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</si>
  <si>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</si>
  <si>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</si>
  <si>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</si>
  <si>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</si>
  <si>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</si>
  <si>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</si>
  <si>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</si>
  <si>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</si>
  <si>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</si>
  <si>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</si>
  <si>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</si>
  <si>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</si>
  <si>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</si>
  <si>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</si>
  <si>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</si>
  <si>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</si>
  <si>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</si>
  <si>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</si>
  <si>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</si>
  <si>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</si>
  <si>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</si>
  <si>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</si>
  <si>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</si>
  <si>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</si>
  <si>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</si>
  <si>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</si>
  <si>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</si>
  <si>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</si>
  <si>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</si>
  <si>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</si>
  <si>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</si>
  <si>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</si>
  <si>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</si>
  <si>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</si>
  <si>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</si>
  <si>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</si>
  <si>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</si>
  <si>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</si>
  <si>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</si>
  <si>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</si>
  <si>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</si>
  <si>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</si>
  <si>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</si>
  <si>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</si>
  <si>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</si>
  <si>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</si>
  <si>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</si>
  <si>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</si>
  <si>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</si>
  <si>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</si>
  <si>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</si>
  <si>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</si>
  <si>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</si>
  <si>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</si>
  <si>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</si>
  <si>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</si>
  <si>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</si>
  <si>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</si>
  <si>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</si>
  <si>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</si>
  <si>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</si>
  <si>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</si>
  <si>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</si>
  <si>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</si>
  <si>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</si>
  <si>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</si>
  <si>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</si>
  <si>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</si>
  <si>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</si>
  <si>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</si>
  <si>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</si>
  <si>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</si>
  <si>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</si>
  <si>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</si>
  <si>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</si>
  <si>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</si>
  <si>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</si>
  <si>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</si>
  <si>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</si>
  <si>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</si>
  <si>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</si>
  <si>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</si>
  <si>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</si>
  <si>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</si>
  <si>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</si>
  <si>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</si>
  <si>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</si>
  <si>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</si>
  <si>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</si>
  <si>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</si>
  <si>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</si>
  <si>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</si>
  <si>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</si>
  <si>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</si>
  <si>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</si>
  <si>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</si>
  <si>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</si>
  <si>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</si>
  <si>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</si>
  <si>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</si>
  <si>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</si>
  <si>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</si>
  <si>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</si>
  <si>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</si>
  <si>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</si>
  <si>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</si>
  <si>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</si>
  <si>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</si>
  <si>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</si>
  <si>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</si>
  <si>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</si>
  <si>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</si>
  <si>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</si>
  <si>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</si>
  <si>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</si>
  <si>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</si>
  <si>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</si>
  <si>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</si>
  <si>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</si>
  <si>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</si>
  <si>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</si>
  <si>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</si>
  <si>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</si>
  <si>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</si>
  <si>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</si>
  <si>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</si>
  <si>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</si>
  <si>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</si>
  <si>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</si>
  <si>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</si>
  <si>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</si>
  <si>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</si>
  <si>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</si>
  <si>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</si>
  <si>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</si>
  <si>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</si>
  <si>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</si>
  <si>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</si>
  <si>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</si>
  <si>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</si>
  <si>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</si>
  <si>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</si>
  <si>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</si>
  <si>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</si>
  <si>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</si>
  <si>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</si>
  <si>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</si>
  <si>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</si>
  <si>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</si>
  <si>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</si>
  <si>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</si>
  <si>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</si>
  <si>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</si>
  <si>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</si>
  <si>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</si>
  <si>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</si>
  <si>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</si>
  <si>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</si>
  <si>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</si>
  <si>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</si>
  <si>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</si>
  <si>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</si>
  <si>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</si>
  <si>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</si>
  <si>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</si>
  <si>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</si>
  <si>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</si>
  <si>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</si>
  <si>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</si>
  <si>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</si>
  <si>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</si>
  <si>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</si>
  <si>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</si>
  <si>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</si>
  <si>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</si>
  <si>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</si>
  <si>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</si>
  <si>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</si>
  <si>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</si>
  <si>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</si>
  <si>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</si>
  <si>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</si>
  <si>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</si>
  <si>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</si>
  <si>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</si>
  <si>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</si>
  <si>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</si>
  <si>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</si>
  <si>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</si>
  <si>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</si>
  <si>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</si>
  <si>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</si>
  <si>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</si>
  <si>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</si>
  <si>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</si>
  <si>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</si>
  <si>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</si>
  <si>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</si>
  <si>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</si>
  <si>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</si>
  <si>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</si>
  <si>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</si>
  <si>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</si>
  <si>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</si>
  <si>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</si>
  <si>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</si>
  <si>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</si>
  <si>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</si>
  <si>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</si>
  <si>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</si>
  <si>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</si>
  <si>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</si>
  <si>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</si>
  <si>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</si>
  <si>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</si>
  <si>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</si>
  <si>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</si>
  <si>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</si>
  <si>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</si>
  <si>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</si>
  <si>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</si>
  <si>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</si>
  <si>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</si>
  <si>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</si>
  <si>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</si>
  <si>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</si>
  <si>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</si>
  <si>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</si>
  <si>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</si>
  <si>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</si>
  <si>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</si>
  <si>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</si>
  <si>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</si>
  <si>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</si>
  <si>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</si>
  <si>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</si>
  <si>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</si>
  <si>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</si>
  <si>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</si>
  <si>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</si>
  <si>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</si>
  <si>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</si>
  <si>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</si>
  <si>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</si>
  <si>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</si>
  <si>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</si>
  <si>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</si>
  <si>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</si>
  <si>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</si>
  <si>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</si>
  <si>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</si>
  <si>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</si>
  <si>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</si>
  <si>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</si>
  <si>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</si>
  <si>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</si>
  <si>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</si>
  <si>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</si>
  <si>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</si>
  <si>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</si>
  <si>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</si>
  <si>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</si>
  <si>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</si>
  <si>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</si>
  <si>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</si>
  <si>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</si>
  <si>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</si>
  <si>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</si>
  <si>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</si>
  <si>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</si>
  <si>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</si>
  <si>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</si>
  <si>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</si>
  <si>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</si>
  <si>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</si>
  <si>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</si>
  <si>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</si>
  <si>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</si>
  <si>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</si>
  <si>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</si>
  <si>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</si>
  <si>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</si>
  <si>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</si>
  <si>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</si>
  <si>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</si>
  <si>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</si>
  <si>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</si>
  <si>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</si>
  <si>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</si>
  <si>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</si>
  <si>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</si>
  <si>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</si>
  <si>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</si>
  <si>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</si>
  <si>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</si>
  <si>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</si>
  <si>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</si>
  <si>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</si>
  <si>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</si>
  <si>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</si>
  <si>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</si>
  <si>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</si>
  <si>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</si>
  <si>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</si>
  <si>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</si>
  <si>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</si>
  <si>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</si>
  <si>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</si>
  <si>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</si>
  <si>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</si>
  <si>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</si>
  <si>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</si>
  <si>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</si>
  <si>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</si>
  <si>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</si>
  <si>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</si>
  <si>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</si>
  <si>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</si>
  <si>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</si>
  <si>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</si>
  <si>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</si>
  <si>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</si>
  <si>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</si>
  <si>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</si>
  <si>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</si>
  <si>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</si>
  <si>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</si>
  <si>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</si>
  <si>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</si>
  <si>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</si>
  <si>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</si>
  <si>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</si>
  <si>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</si>
  <si>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</si>
  <si>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</si>
  <si>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</si>
  <si>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</si>
  <si>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</si>
  <si>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</si>
  <si>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</si>
  <si>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</si>
  <si>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</si>
  <si>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</si>
  <si>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</si>
  <si>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</si>
  <si>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</si>
  <si>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</si>
  <si>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</si>
  <si>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</si>
  <si>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</si>
  <si>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</si>
  <si>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</si>
  <si>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</si>
  <si>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</si>
  <si>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</si>
  <si>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</si>
  <si>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</si>
  <si>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</si>
  <si>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</si>
  <si>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</si>
  <si>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</si>
  <si>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</si>
  <si>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</si>
  <si>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</si>
  <si>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</si>
  <si>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</si>
  <si>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</si>
  <si>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</si>
  <si>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</si>
  <si>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</si>
  <si>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</si>
  <si>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</si>
  <si>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</si>
  <si>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</si>
  <si>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</si>
  <si>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</si>
  <si>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</si>
  <si>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</si>
  <si>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</si>
  <si>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</si>
  <si>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</si>
  <si>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</si>
  <si>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</si>
  <si>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</si>
  <si>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</si>
  <si>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</si>
  <si>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</si>
  <si>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</si>
  <si>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</si>
  <si>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</si>
  <si>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</si>
  <si>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</si>
  <si>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</si>
  <si>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</si>
  <si>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</si>
  <si>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</si>
  <si>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</si>
  <si>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</si>
  <si>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</si>
  <si>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</si>
  <si>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</si>
  <si>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</si>
  <si>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</si>
  <si>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</si>
  <si>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</si>
  <si>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</si>
  <si>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</si>
  <si>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</si>
  <si>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</si>
  <si>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</si>
  <si>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</si>
  <si>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</si>
  <si>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</si>
  <si>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</si>
  <si>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</si>
  <si>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</si>
  <si>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</si>
  <si>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</si>
  <si>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</si>
  <si>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</si>
  <si>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</si>
  <si>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</si>
  <si>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</si>
  <si>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</si>
  <si>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</si>
  <si>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</si>
  <si>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</si>
  <si>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</si>
  <si>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</si>
  <si>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</si>
  <si>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</si>
  <si>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</si>
  <si>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</si>
  <si>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</si>
  <si>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</si>
  <si>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</si>
  <si>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</si>
  <si>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</si>
  <si>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</si>
  <si>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</si>
  <si>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</si>
  <si>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</si>
  <si>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</si>
  <si>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</si>
  <si>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</si>
  <si>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</si>
  <si>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</si>
  <si>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</si>
  <si>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</si>
  <si>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</si>
  <si>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</si>
  <si>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</si>
  <si>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</si>
  <si>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</si>
  <si>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</si>
  <si>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</si>
  <si>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</si>
  <si>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</si>
  <si>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</si>
  <si>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</si>
  <si>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</si>
  <si>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</si>
  <si>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</si>
  <si>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</si>
  <si>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</si>
  <si>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</si>
  <si>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</si>
  <si>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</si>
  <si>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</si>
  <si>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</si>
  <si>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</si>
  <si>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</si>
  <si>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</si>
  <si>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</si>
  <si>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</si>
  <si>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</si>
  <si>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</si>
  <si>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</si>
  <si>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</si>
  <si>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</si>
  <si>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</si>
  <si>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</si>
  <si>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</si>
  <si>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</si>
  <si>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</si>
  <si>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</si>
  <si>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</si>
  <si>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</si>
  <si>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</si>
  <si>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</si>
  <si>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</si>
  <si>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</si>
  <si>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</si>
  <si>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</si>
  <si>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</si>
  <si>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</si>
  <si>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</si>
  <si>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</si>
  <si>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</si>
  <si>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</si>
  <si>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</si>
  <si>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</si>
  <si>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</si>
  <si>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</si>
  <si>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</si>
  <si>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</si>
  <si>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</si>
  <si>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</si>
  <si>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</si>
  <si>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</si>
  <si>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</si>
  <si>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</si>
  <si>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</si>
  <si>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</si>
  <si>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</si>
  <si>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</si>
  <si>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</si>
  <si>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</si>
  <si>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</si>
  <si>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</si>
  <si>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</si>
  <si>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</si>
  <si>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</si>
  <si>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</si>
  <si>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</si>
  <si>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</si>
  <si>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</si>
  <si>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</si>
  <si>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</si>
  <si>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</si>
  <si>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</si>
  <si>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</si>
  <si>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</si>
  <si>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</si>
  <si>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</si>
  <si>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</si>
  <si>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</si>
  <si>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</si>
  <si>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</si>
  <si>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</si>
  <si>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</si>
  <si>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</si>
  <si>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</si>
  <si>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</si>
  <si>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</si>
  <si>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</si>
  <si>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</si>
  <si>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</si>
  <si>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</si>
  <si>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</si>
  <si>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</si>
  <si>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</si>
  <si>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</si>
  <si>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</si>
  <si>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</si>
  <si>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</si>
  <si>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</si>
  <si>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</si>
  <si>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</si>
  <si>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</si>
  <si>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</si>
  <si>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</si>
  <si>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</si>
  <si>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</si>
  <si>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</si>
  <si>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</si>
  <si>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</si>
  <si>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</si>
  <si>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</si>
  <si>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</si>
  <si>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</si>
  <si>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</si>
  <si>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</si>
  <si>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</si>
  <si>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</si>
  <si>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</si>
  <si>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</si>
  <si>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</si>
  <si>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</si>
  <si>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</si>
  <si>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</si>
  <si>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</si>
  <si>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</si>
  <si>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</si>
  <si>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</si>
  <si>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</si>
  <si>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</si>
  <si>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</si>
  <si>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</si>
  <si>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</si>
  <si>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</si>
  <si>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</si>
  <si>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</si>
  <si>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</si>
  <si>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</si>
  <si>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</si>
  <si>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</si>
  <si>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</si>
  <si>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</si>
  <si>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</si>
  <si>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</si>
  <si>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</si>
  <si>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</si>
  <si>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</si>
  <si>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</si>
  <si>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</si>
  <si>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</si>
  <si>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</si>
  <si>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</si>
  <si>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</si>
  <si>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</si>
  <si>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</si>
  <si>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</si>
  <si>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</si>
  <si>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</si>
  <si>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</si>
  <si>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</si>
  <si>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</si>
  <si>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</si>
  <si>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</si>
  <si>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</si>
  <si>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</si>
  <si>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</si>
  <si>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</si>
  <si>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</si>
  <si>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</si>
  <si>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</si>
  <si>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</si>
  <si>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</si>
  <si>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</si>
  <si>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</si>
  <si>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</si>
  <si>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</si>
  <si>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</si>
  <si>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</si>
  <si>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</si>
  <si>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</si>
  <si>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</si>
  <si>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</si>
  <si>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</si>
  <si>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</si>
  <si>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</si>
  <si>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</si>
  <si>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</si>
  <si>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</si>
  <si>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</si>
  <si>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</si>
  <si>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</si>
  <si>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</si>
  <si>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</si>
  <si>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</si>
  <si>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</si>
  <si>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</si>
  <si>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</si>
  <si>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</si>
  <si>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</si>
  <si>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</si>
  <si>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</si>
  <si>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</si>
  <si>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</si>
  <si>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</si>
  <si>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</si>
  <si>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</si>
  <si>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</si>
  <si>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</si>
  <si>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</si>
  <si>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</si>
  <si>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</si>
  <si>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</si>
  <si>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</si>
  <si>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</si>
  <si>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</si>
  <si>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</si>
  <si>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</si>
  <si>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</si>
  <si>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</si>
  <si>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</si>
  <si>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</si>
  <si>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</si>
  <si>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</si>
  <si>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</si>
  <si>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</si>
  <si>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</si>
  <si>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</si>
  <si>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</si>
  <si>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</si>
  <si>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</si>
  <si>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</si>
  <si>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</si>
  <si>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</si>
  <si>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</si>
  <si>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</si>
  <si>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</si>
  <si>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</si>
  <si>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</si>
  <si>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</si>
  <si>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</si>
  <si>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</si>
  <si>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</si>
  <si>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</si>
  <si>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</si>
  <si>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</si>
  <si>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</si>
  <si>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</si>
  <si>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</si>
  <si>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</si>
  <si>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</si>
  <si>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</si>
  <si>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</si>
  <si>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</si>
  <si>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</si>
  <si>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</si>
  <si>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</si>
  <si>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</si>
  <si>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</si>
  <si>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</si>
  <si>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</si>
  <si>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</si>
  <si>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</si>
  <si>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</si>
  <si>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</si>
  <si>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</si>
  <si>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</si>
  <si>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</si>
  <si>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</si>
  <si>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</si>
  <si>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</si>
  <si>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</si>
  <si>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</si>
  <si>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</si>
  <si>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</si>
  <si>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</si>
  <si>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</si>
  <si>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</si>
  <si>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</si>
  <si>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</si>
  <si>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</si>
  <si>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</si>
  <si>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</si>
  <si>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</si>
  <si>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</si>
  <si>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</si>
  <si>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</si>
  <si>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</si>
  <si>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</si>
  <si>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</si>
  <si>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</si>
  <si>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</si>
  <si>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</si>
  <si>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</si>
  <si>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</si>
  <si>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</si>
  <si>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</si>
  <si>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</si>
  <si>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</si>
  <si>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</si>
  <si>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</si>
  <si>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</si>
  <si>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</si>
  <si>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</si>
  <si>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</si>
  <si>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</si>
  <si>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</si>
  <si>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</si>
  <si>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</si>
  <si>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</si>
  <si>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</si>
  <si>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</si>
  <si>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</si>
  <si>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</si>
  <si>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</si>
  <si>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</si>
  <si>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</si>
  <si>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</si>
  <si>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</si>
  <si>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</si>
  <si>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</si>
  <si>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</si>
  <si>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</si>
  <si>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</si>
  <si>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</si>
  <si>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</si>
  <si>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</si>
  <si>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</si>
  <si>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</si>
  <si>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</si>
  <si>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</si>
  <si>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</si>
  <si>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</si>
  <si>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</si>
  <si>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</si>
  <si>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</si>
  <si>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</si>
  <si>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</si>
  <si>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</si>
  <si>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</si>
  <si>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</si>
  <si>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</si>
  <si>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</si>
  <si>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</si>
  <si>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</si>
  <si>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</si>
  <si>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</si>
  <si>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</si>
  <si>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</si>
  <si>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</si>
  <si>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</si>
  <si>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</si>
  <si>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</si>
  <si>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</si>
  <si>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</si>
  <si>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</si>
  <si>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</si>
  <si>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</si>
  <si>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</si>
  <si>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</si>
  <si>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</si>
  <si>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</si>
  <si>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</si>
  <si>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</si>
  <si>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</si>
  <si>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</si>
  <si>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</si>
  <si>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</si>
  <si>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</si>
  <si>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</si>
  <si>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</si>
  <si>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</si>
  <si>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</si>
  <si>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</si>
  <si>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</si>
  <si>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</si>
  <si>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</si>
  <si>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</si>
  <si>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</si>
  <si>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</si>
  <si>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</si>
  <si>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</si>
  <si>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</si>
  <si>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</si>
  <si>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</si>
  <si>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</si>
  <si>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</si>
  <si>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</si>
  <si>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</si>
  <si>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</si>
  <si>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</si>
  <si>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</si>
  <si>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</si>
  <si>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</si>
  <si>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</si>
  <si>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</si>
  <si>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</si>
  <si>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</si>
  <si>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</si>
  <si>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</si>
  <si>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</si>
  <si>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</si>
  <si>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</si>
  <si>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</si>
  <si>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</si>
  <si>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</si>
  <si>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</si>
  <si>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</si>
  <si>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</si>
  <si>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</si>
  <si>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</si>
  <si>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</si>
  <si>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</si>
  <si>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</si>
  <si>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</si>
  <si>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</si>
  <si>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</si>
  <si>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</si>
  <si>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</si>
  <si>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</si>
  <si>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</si>
  <si>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</si>
  <si>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</si>
  <si>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</si>
  <si>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</si>
  <si>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</si>
  <si>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</si>
  <si>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</si>
  <si>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</si>
  <si>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</si>
  <si>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</si>
  <si>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</si>
  <si>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</si>
  <si>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</si>
  <si>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</si>
  <si>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</si>
  <si>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</si>
  <si>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</si>
  <si>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</si>
  <si>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</si>
  <si>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</si>
  <si>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</si>
  <si>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</si>
  <si>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</si>
  <si>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</si>
  <si>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</si>
  <si>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</si>
  <si>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</si>
  <si>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</si>
  <si>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</si>
  <si>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</si>
  <si>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</si>
  <si>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</si>
  <si>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</si>
  <si>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</si>
  <si>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</si>
  <si>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</si>
  <si>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</si>
  <si>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</si>
  <si>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</si>
  <si>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</si>
  <si>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</si>
  <si>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</si>
  <si>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</si>
  <si>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</si>
  <si>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</si>
  <si>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</si>
  <si>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</si>
  <si>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</si>
  <si>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</si>
  <si>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</si>
  <si>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</si>
  <si>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</si>
  <si>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</si>
  <si>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</si>
  <si>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</si>
  <si>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</si>
  <si>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</si>
  <si>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</si>
  <si>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</si>
  <si>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</si>
  <si>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</si>
  <si>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</si>
  <si>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</si>
  <si>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</si>
  <si>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</si>
  <si>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</si>
  <si>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</si>
  <si>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</si>
  <si>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</si>
  <si>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</si>
  <si>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</si>
  <si>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</si>
  <si>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</si>
  <si>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</si>
  <si>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</si>
  <si>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</si>
  <si>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</si>
  <si>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</si>
  <si>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</si>
  <si>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</si>
  <si>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</si>
  <si>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</si>
  <si>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</si>
  <si>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</si>
  <si>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</si>
  <si>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</si>
  <si>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CMRT</t>
    <phoneticPr fontId="4" type="noConversion"/>
  </si>
  <si>
    <t>http://www.kamaya.co.jp/about-csr.php</t>
    <phoneticPr fontId="4" type="noConversion"/>
  </si>
  <si>
    <t>hitou@kamaya.co.jp</t>
    <phoneticPr fontId="4" type="noConversion"/>
  </si>
  <si>
    <t>smakoto@kamaya.co.jp</t>
    <phoneticPr fontId="4" type="noConversion"/>
  </si>
  <si>
    <t>KAMAYA ELECTRIC CO., LTD.</t>
    <rPh sb="0" eb="25">
      <t>ｶﾏﾔﾃﾞﾝｷｶﾌﾞｼｷｶｲｼｬ</t>
    </rPh>
    <phoneticPr fontId="4" type="noConversion"/>
  </si>
  <si>
    <t>PSA Building, 6-1-6 Chuou, Yamato-shi, Kanagawa 242-0021Japan.</t>
    <phoneticPr fontId="4" type="noConversion"/>
  </si>
  <si>
    <t>Harumi Ito</t>
    <phoneticPr fontId="4" type="noConversion"/>
  </si>
  <si>
    <t>(+81)125-65-2171</t>
    <phoneticPr fontId="4" type="noConversion"/>
  </si>
  <si>
    <t>Makoto Suzuki</t>
    <phoneticPr fontId="4" type="noConversion"/>
  </si>
  <si>
    <t>Assistant General Manager</t>
    <phoneticPr fontId="4" type="noConversion"/>
  </si>
  <si>
    <t>http://www.msmelt.com/abt_policy.htm                                                                                                                                                                                         MSC POLICY ON CONFLICT MINERALS :
Currently between 15-20% of the tin we produce is sourced from predominantly artisanal miners in Central Africa. The majority of the smelter intake from Central Africa is currently from Rwanda and from the southern Katanga Province of the DRC that is not within the recognised conflict areas of Eastern DRC. MSC, as a leading member of the tin association ITRI, has been pro-active in developing the ITRI Tin Supply Chain Initiative (iTSCi) traceability and due diligence system designed to differentiate between conflict and non-conflict sources in high risk areas and promote progressive improvement of the circumstances of mining. All tin concentrates purchased by MSC from Rwanda and Katanga is obtained through the iTSCi programme and therefore according to internationally recognised due diligence guidance.</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</si>
</sst>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amily val="3"/>
      <charset val="128"/>
    </font>
    <font>
      <sz val="11"/>
      <name val="MS PGothic"/>
      <family val="2"/>
    </font>
    <font>
      <sz val="12"/>
      <name val="ＭＳ Ｐ明朝"/>
      <family val="1"/>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xf numFmtId="0" fontId="81" fillId="0" borderId="0" applyNumberFormat="0" applyFill="0" applyBorder="0" applyAlignment="0" applyProtection="0"/>
    <xf numFmtId="180" fontId="80"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80" fontId="86" fillId="0" borderId="0"/>
    <xf numFmtId="0" fontId="6" fillId="0" borderId="0"/>
    <xf numFmtId="0" fontId="6" fillId="0" borderId="0"/>
    <xf numFmtId="180"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80" fontId="86" fillId="0" borderId="0"/>
    <xf numFmtId="0" fontId="5" fillId="0" borderId="0"/>
    <xf numFmtId="180" fontId="6" fillId="0" borderId="0"/>
    <xf numFmtId="0" fontId="69" fillId="0" borderId="0"/>
    <xf numFmtId="0" fontId="69" fillId="0" borderId="0"/>
    <xf numFmtId="180" fontId="5" fillId="0" borderId="0"/>
    <xf numFmtId="0" fontId="69" fillId="0" borderId="0"/>
    <xf numFmtId="0" fontId="5" fillId="0" borderId="0"/>
    <xf numFmtId="0" fontId="69" fillId="0" borderId="0"/>
    <xf numFmtId="0" fontId="87" fillId="0" borderId="0">
      <alignment vertical="center"/>
    </xf>
    <xf numFmtId="180"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80" fontId="86" fillId="0" borderId="0"/>
    <xf numFmtId="180"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80" fontId="10" fillId="0" borderId="0"/>
    <xf numFmtId="0" fontId="6" fillId="0" borderId="0"/>
    <xf numFmtId="0" fontId="6" fillId="0" borderId="0"/>
    <xf numFmtId="0" fontId="6" fillId="0" borderId="0"/>
    <xf numFmtId="180" fontId="6" fillId="0" borderId="0"/>
  </cellStyleXfs>
  <cellXfs count="452">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80"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2"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80"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80" fontId="0" fillId="2" borderId="4" xfId="0" applyNumberFormat="1" applyFont="1" applyFill="1" applyBorder="1" applyAlignment="1">
      <alignment vertical="top" wrapText="1"/>
    </xf>
    <xf numFmtId="180" fontId="0" fillId="2" borderId="0" xfId="0" applyNumberFormat="1" applyFont="1" applyFill="1" applyBorder="1" applyAlignment="1"/>
    <xf numFmtId="180" fontId="9" fillId="2" borderId="0" xfId="0" applyNumberFormat="1" applyFont="1" applyFill="1" applyBorder="1"/>
    <xf numFmtId="180" fontId="14" fillId="2" borderId="0" xfId="0" applyNumberFormat="1" applyFont="1" applyFill="1" applyBorder="1" applyAlignment="1">
      <alignment horizontal="center" vertical="center" wrapText="1"/>
    </xf>
    <xf numFmtId="180" fontId="11" fillId="2" borderId="0" xfId="0" applyNumberFormat="1" applyFont="1" applyFill="1" applyBorder="1" applyAlignment="1">
      <alignment horizontal="center" vertical="center"/>
    </xf>
    <xf numFmtId="180" fontId="0" fillId="2" borderId="0" xfId="0" applyNumberFormat="1" applyFont="1" applyFill="1" applyBorder="1"/>
    <xf numFmtId="180" fontId="27" fillId="2" borderId="11"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82"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80"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80"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80"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80"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80"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80"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80"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80"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0" fillId="2" borderId="65" xfId="0" applyFill="1" applyBorder="1" applyAlignment="1" applyProtection="1">
      <alignment horizontal="left" vertical="center" wrapText="1"/>
      <protection locked="0"/>
    </xf>
    <xf numFmtId="0" fontId="124" fillId="2" borderId="13" xfId="0" applyFont="1" applyFill="1" applyBorder="1" applyAlignment="1" applyProtection="1">
      <alignment horizontal="left" vertical="center" wrapText="1"/>
      <protection locked="0"/>
    </xf>
    <xf numFmtId="180" fontId="25" fillId="0" borderId="42" xfId="570" applyNumberFormat="1" applyFont="1" applyFill="1" applyBorder="1" applyAlignment="1">
      <alignment horizontal="center" vertical="top" wrapText="1"/>
    </xf>
    <xf numFmtId="180" fontId="25" fillId="0" borderId="43" xfId="570" applyNumberFormat="1" applyFont="1" applyFill="1" applyBorder="1" applyAlignment="1">
      <alignment horizontal="center" vertical="top" wrapText="1"/>
    </xf>
    <xf numFmtId="180"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80" fontId="25" fillId="2" borderId="42" xfId="570" applyNumberFormat="1" applyFont="1" applyFill="1" applyBorder="1" applyAlignment="1">
      <alignment horizontal="center" vertical="top" wrapText="1"/>
    </xf>
    <xf numFmtId="180" fontId="25" fillId="2" borderId="43" xfId="570" applyNumberFormat="1" applyFont="1" applyFill="1" applyBorder="1" applyAlignment="1">
      <alignment horizontal="center" vertical="top" wrapText="1"/>
    </xf>
    <xf numFmtId="180"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24"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7" fillId="2" borderId="52" xfId="487" applyFill="1" applyBorder="1" applyAlignment="1" applyProtection="1">
      <alignment horizontal="left" vertical="center" wrapText="1"/>
      <protection locked="0"/>
    </xf>
    <xf numFmtId="0" fontId="103" fillId="0" borderId="66" xfId="0" applyNumberFormat="1" applyFont="1" applyBorder="1" applyAlignment="1" applyProtection="1">
      <alignment horizontal="left"/>
      <protection locked="0"/>
    </xf>
    <xf numFmtId="0" fontId="103" fillId="0" borderId="67" xfId="0" applyNumberFormat="1" applyFont="1" applyBorder="1" applyAlignment="1" applyProtection="1">
      <alignment horizontal="left"/>
      <protection locked="0"/>
    </xf>
    <xf numFmtId="0" fontId="103" fillId="0" borderId="68" xfId="0" applyNumberFormat="1" applyFont="1" applyBorder="1" applyAlignment="1" applyProtection="1">
      <alignment horizontal="left"/>
      <protection locked="0"/>
    </xf>
    <xf numFmtId="181" fontId="14" fillId="2" borderId="25" xfId="0" applyNumberFormat="1" applyFont="1" applyFill="1" applyBorder="1" applyAlignment="1" applyProtection="1">
      <alignment horizontal="center" wrapText="1"/>
      <protection locked="0"/>
    </xf>
    <xf numFmtId="181"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ハイパーリンク" xfId="487" builtinId="8"/>
    <cellStyle name="一般 7" xfId="588"/>
    <cellStyle name="標準" xfId="0" builtinId="0"/>
    <cellStyle name="標準 2" xfId="589"/>
    <cellStyle name="標準 2 2" xfId="590"/>
    <cellStyle name="標準 2 3" xfId="591"/>
    <cellStyle name="표준 2" xfId="587"/>
  </cellStyles>
  <dxfs count="93">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5"/>
      <c r="B2" s="38" t="s">
        <v>963</v>
      </c>
      <c r="C2" s="36"/>
      <c r="D2" s="207"/>
      <c r="E2" s="3"/>
      <c r="F2" s="36"/>
      <c r="G2" s="34"/>
    </row>
    <row r="3" spans="1:7">
      <c r="A3" s="355"/>
      <c r="B3" s="5" t="s">
        <v>952</v>
      </c>
      <c r="C3" s="6"/>
      <c r="D3" s="208"/>
      <c r="E3" s="3"/>
      <c r="F3" s="6"/>
      <c r="G3" s="34"/>
    </row>
    <row r="4" spans="1:7" ht="15.75">
      <c r="A4" s="355"/>
      <c r="B4" s="41" t="s">
        <v>965</v>
      </c>
      <c r="C4" s="7"/>
      <c r="D4" s="209"/>
      <c r="E4" s="3"/>
      <c r="F4" s="7"/>
      <c r="G4" s="34"/>
    </row>
    <row r="5" spans="1:7">
      <c r="A5" s="355"/>
      <c r="B5" s="40" t="s">
        <v>1157</v>
      </c>
      <c r="C5" s="4"/>
      <c r="D5" s="210"/>
      <c r="E5" s="3"/>
      <c r="F5" s="4"/>
      <c r="G5" s="34"/>
    </row>
    <row r="6" spans="1:7">
      <c r="A6" s="355"/>
      <c r="B6" s="8"/>
      <c r="C6" s="8"/>
      <c r="D6" s="211"/>
      <c r="E6" s="8"/>
      <c r="F6" s="8"/>
      <c r="G6" s="34"/>
    </row>
    <row r="7" spans="1:7">
      <c r="A7" s="355"/>
      <c r="B7" s="8"/>
      <c r="C7" s="8"/>
      <c r="D7" s="211"/>
      <c r="E7" s="8"/>
      <c r="F7" s="8"/>
      <c r="G7" s="34"/>
    </row>
    <row r="8" spans="1:7">
      <c r="A8" s="355"/>
      <c r="B8" s="8"/>
      <c r="C8" s="8"/>
      <c r="D8" s="211"/>
      <c r="E8" s="8"/>
      <c r="F8" s="8"/>
      <c r="G8" s="34"/>
    </row>
    <row r="9" spans="1:7">
      <c r="A9" s="355"/>
      <c r="B9" s="358" t="s">
        <v>966</v>
      </c>
      <c r="C9" s="358"/>
      <c r="D9" s="358"/>
      <c r="E9" s="358"/>
      <c r="F9" s="358"/>
      <c r="G9" s="34"/>
    </row>
    <row r="10" spans="1:7" ht="27" customHeight="1">
      <c r="A10" s="355"/>
      <c r="B10" s="359" t="s">
        <v>506</v>
      </c>
      <c r="C10" s="359"/>
      <c r="D10" s="359"/>
      <c r="E10" s="359"/>
      <c r="F10" s="359"/>
      <c r="G10" s="34"/>
    </row>
    <row r="11" spans="1:7" ht="27" customHeight="1">
      <c r="A11" s="355"/>
      <c r="B11" s="360"/>
      <c r="C11" s="360"/>
      <c r="D11" s="360"/>
      <c r="E11" s="360"/>
      <c r="F11" s="360"/>
      <c r="G11" s="34"/>
    </row>
    <row r="12" spans="1:7">
      <c r="A12" s="355"/>
      <c r="B12" s="42" t="s">
        <v>964</v>
      </c>
      <c r="C12" s="43" t="s">
        <v>967</v>
      </c>
      <c r="D12" s="212" t="s">
        <v>968</v>
      </c>
      <c r="E12" s="43" t="s">
        <v>701</v>
      </c>
      <c r="F12" s="43" t="s">
        <v>702</v>
      </c>
      <c r="G12" s="34"/>
    </row>
    <row r="13" spans="1:7" ht="33.75">
      <c r="A13" s="355"/>
      <c r="B13" s="2">
        <v>1</v>
      </c>
      <c r="C13" s="37" t="s">
        <v>1208</v>
      </c>
      <c r="D13" s="39" t="s">
        <v>992</v>
      </c>
      <c r="E13" s="196" t="s">
        <v>969</v>
      </c>
      <c r="F13" s="196"/>
      <c r="G13" s="34"/>
    </row>
    <row r="14" spans="1:7" ht="33.75">
      <c r="A14" s="355"/>
      <c r="B14" s="2">
        <v>2</v>
      </c>
      <c r="C14" s="37" t="s">
        <v>1208</v>
      </c>
      <c r="D14" s="39" t="s">
        <v>1142</v>
      </c>
      <c r="E14" s="196" t="s">
        <v>602</v>
      </c>
      <c r="F14" s="196" t="s">
        <v>603</v>
      </c>
      <c r="G14" s="34"/>
    </row>
    <row r="15" spans="1:7" ht="89.1" customHeight="1">
      <c r="A15" s="355"/>
      <c r="B15" s="361">
        <v>2.0099999999999998</v>
      </c>
      <c r="C15" s="352" t="s">
        <v>1208</v>
      </c>
      <c r="D15" s="364" t="s">
        <v>2686</v>
      </c>
      <c r="E15" s="197" t="s">
        <v>703</v>
      </c>
      <c r="F15" s="197" t="s">
        <v>706</v>
      </c>
      <c r="G15" s="34"/>
    </row>
    <row r="16" spans="1:7" ht="99" customHeight="1">
      <c r="A16" s="355"/>
      <c r="B16" s="362"/>
      <c r="C16" s="353"/>
      <c r="D16" s="365"/>
      <c r="E16" s="198"/>
      <c r="F16" s="198" t="s">
        <v>704</v>
      </c>
      <c r="G16" s="34"/>
    </row>
    <row r="17" spans="1:7" ht="63" customHeight="1">
      <c r="A17" s="355"/>
      <c r="B17" s="363"/>
      <c r="C17" s="354"/>
      <c r="D17" s="366"/>
      <c r="E17" s="37"/>
      <c r="F17" s="37" t="s">
        <v>705</v>
      </c>
      <c r="G17" s="34"/>
    </row>
    <row r="18" spans="1:7" ht="117" customHeight="1">
      <c r="A18" s="355"/>
      <c r="B18" s="361">
        <v>2.02</v>
      </c>
      <c r="C18" s="352" t="s">
        <v>1208</v>
      </c>
      <c r="D18" s="364" t="s">
        <v>2687</v>
      </c>
      <c r="E18" s="197" t="s">
        <v>507</v>
      </c>
      <c r="F18" s="197" t="s">
        <v>596</v>
      </c>
      <c r="G18" s="34"/>
    </row>
    <row r="19" spans="1:7" ht="71.099999999999994" customHeight="1">
      <c r="A19" s="355"/>
      <c r="B19" s="362"/>
      <c r="C19" s="353"/>
      <c r="D19" s="365"/>
      <c r="E19" s="198" t="s">
        <v>601</v>
      </c>
      <c r="F19" s="198" t="s">
        <v>508</v>
      </c>
      <c r="G19" s="34"/>
    </row>
    <row r="20" spans="1:7" ht="90.75" customHeight="1">
      <c r="A20" s="355"/>
      <c r="B20" s="362"/>
      <c r="C20" s="353"/>
      <c r="D20" s="365"/>
      <c r="E20" s="198"/>
      <c r="F20" s="198" t="s">
        <v>708</v>
      </c>
      <c r="G20" s="34"/>
    </row>
    <row r="21" spans="1:7" ht="74.25" customHeight="1">
      <c r="A21" s="355"/>
      <c r="B21" s="363"/>
      <c r="C21" s="354"/>
      <c r="D21" s="366"/>
      <c r="E21" s="37"/>
      <c r="F21" s="37" t="s">
        <v>707</v>
      </c>
      <c r="G21" s="34"/>
    </row>
    <row r="22" spans="1:7" ht="90" customHeight="1">
      <c r="A22" s="355"/>
      <c r="B22" s="370">
        <v>2.0299999999999998</v>
      </c>
      <c r="C22" s="370" t="s">
        <v>935</v>
      </c>
      <c r="D22" s="349" t="s">
        <v>2688</v>
      </c>
      <c r="E22" s="352" t="s">
        <v>505</v>
      </c>
      <c r="F22" s="197" t="s">
        <v>529</v>
      </c>
      <c r="G22" s="34"/>
    </row>
    <row r="23" spans="1:7" ht="109.5" customHeight="1">
      <c r="A23" s="355"/>
      <c r="B23" s="371"/>
      <c r="C23" s="371"/>
      <c r="D23" s="350"/>
      <c r="E23" s="353"/>
      <c r="F23" s="198" t="s">
        <v>936</v>
      </c>
      <c r="G23" s="34"/>
    </row>
    <row r="24" spans="1:7" ht="74.25" customHeight="1">
      <c r="A24" s="355"/>
      <c r="B24" s="372"/>
      <c r="C24" s="372"/>
      <c r="D24" s="351"/>
      <c r="E24" s="354"/>
      <c r="F24" s="37" t="s">
        <v>504</v>
      </c>
      <c r="G24" s="34"/>
    </row>
    <row r="25" spans="1:7" ht="72" customHeight="1">
      <c r="A25" s="355"/>
      <c r="B25" s="2" t="s">
        <v>527</v>
      </c>
      <c r="C25" s="37" t="s">
        <v>528</v>
      </c>
      <c r="D25" s="39" t="s">
        <v>2689</v>
      </c>
      <c r="E25" s="37" t="s">
        <v>2682</v>
      </c>
      <c r="F25" s="37" t="s">
        <v>530</v>
      </c>
      <c r="G25" s="34"/>
    </row>
    <row r="26" spans="1:7" ht="98.1" customHeight="1">
      <c r="A26" s="355"/>
      <c r="B26" s="367">
        <v>3</v>
      </c>
      <c r="C26" s="361" t="s">
        <v>74</v>
      </c>
      <c r="D26" s="364" t="s">
        <v>2690</v>
      </c>
      <c r="E26" s="352" t="s">
        <v>0</v>
      </c>
      <c r="F26" s="197" t="s">
        <v>68</v>
      </c>
      <c r="G26" s="34"/>
    </row>
    <row r="27" spans="1:7" ht="90" customHeight="1">
      <c r="A27" s="355"/>
      <c r="B27" s="368"/>
      <c r="C27" s="362"/>
      <c r="D27" s="365"/>
      <c r="E27" s="353"/>
      <c r="F27" s="198" t="s">
        <v>63</v>
      </c>
      <c r="G27" s="34"/>
    </row>
    <row r="28" spans="1:7" ht="19.350000000000001" customHeight="1">
      <c r="A28" s="355"/>
      <c r="B28" s="368"/>
      <c r="C28" s="362"/>
      <c r="D28" s="365"/>
      <c r="E28" s="353"/>
      <c r="F28" s="198" t="s">
        <v>64</v>
      </c>
      <c r="G28" s="34"/>
    </row>
    <row r="29" spans="1:7" ht="74.45" customHeight="1">
      <c r="A29" s="355"/>
      <c r="B29" s="368"/>
      <c r="C29" s="362"/>
      <c r="D29" s="365"/>
      <c r="E29" s="353"/>
      <c r="F29" s="198" t="s">
        <v>65</v>
      </c>
      <c r="G29" s="34"/>
    </row>
    <row r="30" spans="1:7" ht="62.45" customHeight="1">
      <c r="A30" s="355"/>
      <c r="B30" s="368"/>
      <c r="C30" s="362"/>
      <c r="D30" s="365"/>
      <c r="E30" s="353"/>
      <c r="F30" s="198" t="s">
        <v>66</v>
      </c>
      <c r="G30" s="34"/>
    </row>
    <row r="31" spans="1:7" ht="81" customHeight="1">
      <c r="A31" s="355"/>
      <c r="B31" s="368"/>
      <c r="C31" s="362"/>
      <c r="D31" s="365"/>
      <c r="E31" s="353"/>
      <c r="F31" s="198" t="s">
        <v>67</v>
      </c>
      <c r="G31" s="34"/>
    </row>
    <row r="32" spans="1:7" ht="48.75" customHeight="1">
      <c r="A32" s="355"/>
      <c r="B32" s="368"/>
      <c r="C32" s="362"/>
      <c r="D32" s="365"/>
      <c r="E32" s="353"/>
      <c r="F32" s="198" t="s">
        <v>70</v>
      </c>
      <c r="G32" s="34"/>
    </row>
    <row r="33" spans="1:7" ht="98.45" customHeight="1">
      <c r="A33" s="355"/>
      <c r="B33" s="368"/>
      <c r="C33" s="362"/>
      <c r="D33" s="365"/>
      <c r="E33" s="353"/>
      <c r="F33" s="198" t="s">
        <v>69</v>
      </c>
      <c r="G33" s="34"/>
    </row>
    <row r="34" spans="1:7" ht="89.1" customHeight="1">
      <c r="A34" s="355"/>
      <c r="B34" s="368"/>
      <c r="C34" s="362"/>
      <c r="D34" s="365"/>
      <c r="E34" s="353"/>
      <c r="F34" s="198" t="s">
        <v>71</v>
      </c>
      <c r="G34" s="34"/>
    </row>
    <row r="35" spans="1:7" ht="29.1" customHeight="1">
      <c r="A35" s="355"/>
      <c r="B35" s="368"/>
      <c r="C35" s="362"/>
      <c r="D35" s="365"/>
      <c r="E35" s="353"/>
      <c r="F35" s="198" t="s">
        <v>72</v>
      </c>
      <c r="G35" s="34"/>
    </row>
    <row r="36" spans="1:7" ht="126.75">
      <c r="A36" s="355"/>
      <c r="B36" s="369"/>
      <c r="C36" s="363"/>
      <c r="D36" s="366"/>
      <c r="E36" s="354"/>
      <c r="F36" s="199" t="s">
        <v>73</v>
      </c>
      <c r="G36" s="34"/>
    </row>
    <row r="37" spans="1:7" ht="112.5">
      <c r="A37" s="355"/>
      <c r="B37" s="175">
        <v>3.01</v>
      </c>
      <c r="C37" s="176" t="s">
        <v>74</v>
      </c>
      <c r="D37" s="39" t="s">
        <v>2691</v>
      </c>
      <c r="E37" s="200" t="s">
        <v>1458</v>
      </c>
      <c r="F37" s="201" t="s">
        <v>1577</v>
      </c>
      <c r="G37" s="34"/>
    </row>
    <row r="38" spans="1:7" ht="101.25">
      <c r="A38" s="355"/>
      <c r="B38" s="175">
        <v>3.02</v>
      </c>
      <c r="C38" s="176" t="s">
        <v>1492</v>
      </c>
      <c r="D38" s="39" t="s">
        <v>2692</v>
      </c>
      <c r="E38" s="200" t="s">
        <v>1507</v>
      </c>
      <c r="F38" s="201" t="s">
        <v>1578</v>
      </c>
      <c r="G38" s="34"/>
    </row>
    <row r="39" spans="1:7" ht="101.25">
      <c r="A39" s="355"/>
      <c r="B39" s="184">
        <v>4</v>
      </c>
      <c r="C39" s="183" t="s">
        <v>1757</v>
      </c>
      <c r="D39" s="39" t="s">
        <v>2693</v>
      </c>
      <c r="E39" s="37" t="s">
        <v>2625</v>
      </c>
      <c r="F39" s="37" t="s">
        <v>1758</v>
      </c>
      <c r="G39" s="34"/>
    </row>
    <row r="40" spans="1:7" ht="56.25">
      <c r="A40" s="355"/>
      <c r="B40" s="175">
        <v>4.01</v>
      </c>
      <c r="C40" s="183" t="s">
        <v>1757</v>
      </c>
      <c r="D40" s="39" t="s">
        <v>2695</v>
      </c>
      <c r="E40" s="37" t="s">
        <v>2644</v>
      </c>
      <c r="F40" s="37" t="s">
        <v>2649</v>
      </c>
      <c r="G40" s="34"/>
    </row>
    <row r="41" spans="1:7" ht="56.25">
      <c r="A41" s="355"/>
      <c r="B41" s="175" t="s">
        <v>2680</v>
      </c>
      <c r="C41" s="183" t="s">
        <v>1757</v>
      </c>
      <c r="D41" s="39" t="s">
        <v>2694</v>
      </c>
      <c r="E41" s="37" t="s">
        <v>2683</v>
      </c>
      <c r="F41" s="37" t="s">
        <v>2681</v>
      </c>
      <c r="G41" s="34"/>
    </row>
    <row r="42" spans="1:7" ht="56.25">
      <c r="A42" s="355"/>
      <c r="B42" s="175" t="s">
        <v>2732</v>
      </c>
      <c r="C42" s="183" t="s">
        <v>1757</v>
      </c>
      <c r="D42" s="39" t="s">
        <v>2903</v>
      </c>
      <c r="E42" s="37" t="s">
        <v>2682</v>
      </c>
      <c r="F42" s="37" t="s">
        <v>2733</v>
      </c>
      <c r="G42" s="34"/>
    </row>
    <row r="43" spans="1:7" ht="123.75">
      <c r="A43" s="355"/>
      <c r="B43" s="193">
        <v>4.0999999999999996</v>
      </c>
      <c r="C43" s="183" t="s">
        <v>2902</v>
      </c>
      <c r="D43" s="194">
        <v>42867</v>
      </c>
      <c r="E43" s="202" t="s">
        <v>2905</v>
      </c>
      <c r="F43" s="37" t="s">
        <v>2904</v>
      </c>
      <c r="G43" s="34"/>
    </row>
    <row r="44" spans="1:7" ht="78.75">
      <c r="A44" s="355"/>
      <c r="B44" s="193">
        <v>4.2</v>
      </c>
      <c r="C44" s="183" t="s">
        <v>2902</v>
      </c>
      <c r="D44" s="194">
        <v>42704</v>
      </c>
      <c r="E44" s="202" t="s">
        <v>3155</v>
      </c>
      <c r="F44" s="37" t="s">
        <v>3120</v>
      </c>
      <c r="G44" s="34"/>
    </row>
    <row r="45" spans="1:7" ht="157.5">
      <c r="A45" s="355"/>
      <c r="B45" s="241">
        <v>5</v>
      </c>
      <c r="C45" s="183" t="s">
        <v>2902</v>
      </c>
      <c r="D45" s="194">
        <v>42867</v>
      </c>
      <c r="E45" s="202" t="s">
        <v>13730</v>
      </c>
      <c r="F45" s="37" t="s">
        <v>13315</v>
      </c>
      <c r="G45" s="34"/>
    </row>
    <row r="46" spans="1:7" ht="45">
      <c r="A46" s="355"/>
      <c r="B46" s="193">
        <v>5.01</v>
      </c>
      <c r="C46" s="183" t="s">
        <v>2902</v>
      </c>
      <c r="D46" s="194">
        <v>42907</v>
      </c>
      <c r="E46" s="202" t="s">
        <v>13786</v>
      </c>
      <c r="F46" s="37" t="s">
        <v>13315</v>
      </c>
      <c r="G46" s="34"/>
    </row>
    <row r="47" spans="1:7" ht="67.5">
      <c r="A47" s="355"/>
      <c r="B47" s="193">
        <v>5.0999999999999996</v>
      </c>
      <c r="C47" s="183" t="s">
        <v>2902</v>
      </c>
      <c r="D47" s="194">
        <v>43070</v>
      </c>
      <c r="E47" s="202" t="s">
        <v>13985</v>
      </c>
      <c r="F47" s="37" t="s">
        <v>13986</v>
      </c>
      <c r="G47" s="34"/>
    </row>
    <row r="48" spans="1:7" ht="56.25">
      <c r="A48" s="355"/>
      <c r="B48" s="193">
        <v>5.1100000000000003</v>
      </c>
      <c r="C48" s="183" t="s">
        <v>14260</v>
      </c>
      <c r="D48" s="194">
        <v>43217</v>
      </c>
      <c r="E48" s="202" t="s">
        <v>14404</v>
      </c>
      <c r="F48" s="37" t="s">
        <v>14299</v>
      </c>
      <c r="G48" s="34"/>
    </row>
    <row r="49" spans="1:7" ht="56.25">
      <c r="A49" s="355"/>
      <c r="B49" s="193">
        <v>5.12</v>
      </c>
      <c r="C49" s="183" t="s">
        <v>14260</v>
      </c>
      <c r="D49" s="194">
        <v>43581</v>
      </c>
      <c r="E49" s="202" t="s">
        <v>14404</v>
      </c>
      <c r="F49" s="37" t="s">
        <v>15467</v>
      </c>
      <c r="G49" s="34"/>
    </row>
    <row r="50" spans="1:7" ht="13.5" thickBot="1">
      <c r="A50" s="356"/>
      <c r="B50" s="357" t="str">
        <f ca="1">OFFSET(L!$C$1,MATCH("General"&amp;"Cpy",L!$A:$A,0)-1,SL,,)</f>
        <v>© 2019 Responsible Minerals Initiative. All rights reserved.</v>
      </c>
      <c r="C50" s="357"/>
      <c r="D50" s="357"/>
      <c r="E50" s="357"/>
      <c r="F50" s="357"/>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60">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3"/>
      <c r="B1" s="374"/>
      <c r="C1" s="374"/>
      <c r="D1" s="375"/>
    </row>
    <row r="2" spans="1:5" ht="71.25" customHeight="1">
      <c r="A2" s="90"/>
      <c r="B2" s="171" t="str">
        <f ca="1">OFFSET(L!$C$1,MATCH("Definitions"&amp;ADDRESS(ROW(),COLUMN(),4),L!$A:$A,0)-1,SL,,)</f>
        <v>ITEM</v>
      </c>
      <c r="C2" s="171" t="str">
        <f ca="1">OFFSET(L!$C$1,MATCH("Definitions"&amp;ADDRESS(ROW(),COLUMN(),4),L!$A:$A,0)-1,SL,,)</f>
        <v>DEFINITION</v>
      </c>
      <c r="D2" s="377"/>
      <c r="E2" s="131"/>
    </row>
    <row r="3" spans="1:5" ht="63.95" customHeight="1">
      <c r="A3" s="90"/>
      <c r="B3" s="77" t="str">
        <f ca="1">OFFSET(L!$C$1,MATCH("Definitions"&amp;ADDRESS(ROW(),COLUMN(),4),L!$A:$A,0)-1,SL,,)</f>
        <v>3TG</v>
      </c>
      <c r="C3" s="77" t="str">
        <f ca="1">OFFSET(L!$C$1,MATCH("Definitions"&amp;ADDRESS(ROW(),COLUMN(),4),L!$A:$A,0)-1,SL,,)</f>
        <v>Tantalum, tin, tungsten, gold</v>
      </c>
      <c r="D3" s="377"/>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7"/>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7"/>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7"/>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7"/>
      <c r="E8" s="132" t="s">
        <v>1443</v>
      </c>
    </row>
    <row r="9" spans="1:5" ht="45">
      <c r="A9" s="90"/>
      <c r="B9" s="77" t="str">
        <f ca="1">OFFSET(L!$C$1,MATCH("Definitions"&amp;ADDRESS(ROW(),COLUMN(),4),L!$A:$A,0)-1,SL,,)</f>
        <v>DRC</v>
      </c>
      <c r="C9" s="77" t="str">
        <f ca="1">OFFSET(L!$C$1,MATCH("Definitions"&amp;ADDRESS(ROW(),COLUMN(),4),L!$A:$A,0)-1,SL,,)</f>
        <v>Democratic Republic of Congo</v>
      </c>
      <c r="D9" s="377"/>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7"/>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7"/>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7"/>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7"/>
      <c r="E13" s="132" t="s">
        <v>1442</v>
      </c>
    </row>
    <row r="14" spans="1:5" ht="120">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7"/>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7"/>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7"/>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7"/>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7"/>
      <c r="E18" s="132"/>
    </row>
    <row r="19" spans="1:5" ht="30">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7"/>
      <c r="E19" s="132"/>
    </row>
    <row r="20" spans="1:5" ht="15">
      <c r="A20" s="90"/>
      <c r="B20" s="77" t="str">
        <f ca="1">OFFSET(L!$C$1,MATCH("Definitions"&amp;ADDRESS(ROW(),COLUMN(),4),L!$A:$A,0)-1,SL,,)</f>
        <v>RBA</v>
      </c>
      <c r="C20" s="77" t="str">
        <f ca="1">OFFSET(L!$C$1,MATCH("Definitions"&amp;ADDRESS(ROW(),COLUMN(),4),L!$A:$A,0)-1,SL,,)</f>
        <v>Responsible Business Alliance (www.responsiblebusiness.org)</v>
      </c>
      <c r="D20" s="377"/>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7"/>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7"/>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7"/>
      <c r="E23" s="132"/>
    </row>
    <row r="24" spans="1:5" ht="135">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7"/>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7"/>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7"/>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7"/>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7"/>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7"/>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7"/>
      <c r="E30" s="132"/>
    </row>
    <row r="31" spans="1:5" ht="15">
      <c r="A31" s="90"/>
      <c r="B31" s="376" t="str">
        <f ca="1">OFFSET(L!$C$1,MATCH("General"&amp;"Cpy",L!$A:$A,0)-1,SL,,)</f>
        <v>© 2019 Responsible Minerals Initiative. All rights reserved.</v>
      </c>
      <c r="C31" s="376"/>
      <c r="D31" s="377"/>
      <c r="E31" s="132"/>
    </row>
    <row r="32" spans="1:5" ht="13.5" thickBot="1">
      <c r="A32" s="91"/>
      <c r="B32" s="187"/>
      <c r="C32" s="187"/>
      <c r="D32" s="378"/>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11"/>
      <c r="B1" s="412"/>
      <c r="C1" s="412"/>
      <c r="D1" s="412"/>
      <c r="E1" s="412"/>
      <c r="F1" s="412"/>
      <c r="G1" s="412"/>
      <c r="H1" s="412"/>
      <c r="I1" s="412"/>
      <c r="J1" s="412"/>
      <c r="K1" s="413"/>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4" t="str">
        <f ca="1">OFFSET(L!$C$1,MATCH("Declaration"&amp;ADDRESS(ROW(),COLUMN(),4),L!$A:$A,0)-1,SL,,)</f>
        <v>Conflict Minerals Reporting Template (CMRT)</v>
      </c>
      <c r="E2" s="415"/>
      <c r="F2" s="415"/>
      <c r="G2" s="415"/>
      <c r="H2" s="415"/>
      <c r="I2" s="415"/>
      <c r="J2" s="416"/>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5"/>
      <c r="G3" s="425"/>
      <c r="H3" s="425"/>
      <c r="I3" s="186"/>
      <c r="J3" s="172" t="s">
        <v>15472</v>
      </c>
      <c r="K3" s="47"/>
      <c r="L3" s="143"/>
      <c r="M3" s="134"/>
      <c r="N3" s="134"/>
      <c r="O3" s="135"/>
      <c r="P3" s="148">
        <f>MATCH($D$3,LN,0)</f>
        <v>1</v>
      </c>
    </row>
    <row r="4" spans="1:34" ht="15.75">
      <c r="A4" s="45"/>
      <c r="B4" s="420" t="str">
        <f ca="1">OFFSET(L!$C$1,MATCH("Declaration"&amp;ADDRESS(ROW(),COLUMN(),4),L!$A:$A,0)-1,SL,,)</f>
        <v>The purpose of this document is to collect sourcing information on tin, tantalum, tungsten and gold used in products</v>
      </c>
      <c r="C4" s="420"/>
      <c r="D4" s="420"/>
      <c r="E4" s="420"/>
      <c r="F4" s="420"/>
      <c r="G4" s="420"/>
      <c r="H4" s="420"/>
      <c r="I4" s="426" t="str">
        <f ca="1">OFFSET(L!$C$1,MATCH("Declaration"&amp;ADDRESS(ROW(),COLUMN(),4),L!$A:$A,0)-1,SL,,)</f>
        <v>Link to Terms &amp; Conditions</v>
      </c>
      <c r="J4" s="426"/>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20" t="str">
        <f ca="1">OFFSET(L!$C$1,MATCH("Declaration"&amp;ADDRESS(ROW(),COLUMN(),4),L!$A:$A,0)-1,SL,,)</f>
        <v>Mandatory fields are noted with an asterisk (*).  Consult the instructions tab for guidance on how to answer each question.</v>
      </c>
      <c r="C6" s="420"/>
      <c r="D6" s="420"/>
      <c r="E6" s="420"/>
      <c r="F6" s="420"/>
      <c r="G6" s="420"/>
      <c r="H6" s="420"/>
      <c r="I6" s="420"/>
      <c r="J6" s="420"/>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30" t="str">
        <f ca="1">OFFSET(L!$C$1,MATCH("Declaration"&amp;ADDRESS(ROW(),COLUMN(),4),L!$A:$A,0)-1,SL,,)</f>
        <v>Company Information</v>
      </c>
      <c r="C7" s="430"/>
      <c r="D7" s="430"/>
      <c r="E7" s="430"/>
      <c r="F7" s="430"/>
      <c r="G7" s="430"/>
      <c r="H7" s="430"/>
      <c r="I7" s="430"/>
      <c r="J7" s="430"/>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ustomHeight="1">
      <c r="A8" s="49"/>
      <c r="B8" s="89" t="str">
        <f ca="1">OFFSET(L!$C$1,MATCH("Declaration"&amp;ADDRESS(ROW(),COLUMN(),4),L!$A:$A,0)-1,SL,,)</f>
        <v>Company Name (*):</v>
      </c>
      <c r="C8" s="92"/>
      <c r="D8" s="417" t="s">
        <v>15498</v>
      </c>
      <c r="E8" s="418"/>
      <c r="F8" s="418"/>
      <c r="G8" s="418"/>
      <c r="H8" s="418"/>
      <c r="I8" s="418"/>
      <c r="J8" s="419"/>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7" t="s">
        <v>564</v>
      </c>
      <c r="E9" s="428"/>
      <c r="F9" s="428"/>
      <c r="G9" s="429"/>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31" t="str">
        <f ca="1">OFFSET(L!$C$1,MATCH("Declaration"&amp;ADDRESS(ROW(),COLUMN(),4)&amp;LEFT($D$9,1),L!$A:$A,0)-1,SL,,)</f>
        <v>Description of Scope:</v>
      </c>
      <c r="C10" s="155"/>
      <c r="D10" s="421"/>
      <c r="E10" s="422"/>
      <c r="F10" s="422"/>
      <c r="G10" s="422"/>
      <c r="H10" s="422"/>
      <c r="I10" s="422"/>
      <c r="J10" s="423"/>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
      <c r="A11" s="49"/>
      <c r="B11" s="432"/>
      <c r="C11" s="155"/>
      <c r="D11" s="394" t="str">
        <f ca="1">IF(D9=Q9,OFFSET(L!$C$1,MATCH("Declaration"&amp;ADDRESS(ROW(),COLUMN(),4),L!$A:$A,0)-1,SL,,),"")</f>
        <v/>
      </c>
      <c r="E11" s="395"/>
      <c r="F11" s="395"/>
      <c r="G11" s="395"/>
      <c r="H11" s="395"/>
      <c r="I11" s="395"/>
      <c r="J11" s="396"/>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3"/>
      <c r="E12" s="404"/>
      <c r="F12" s="404"/>
      <c r="G12" s="404"/>
      <c r="H12" s="404"/>
      <c r="I12" s="404"/>
      <c r="J12" s="405"/>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3"/>
      <c r="E13" s="404"/>
      <c r="F13" s="404"/>
      <c r="G13" s="404"/>
      <c r="H13" s="404"/>
      <c r="I13" s="404"/>
      <c r="J13" s="405"/>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79" t="s">
        <v>15499</v>
      </c>
      <c r="E14" s="424"/>
      <c r="F14" s="424"/>
      <c r="G14" s="424"/>
      <c r="H14" s="424"/>
      <c r="I14" s="424"/>
      <c r="J14" s="380"/>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88" t="s">
        <v>15500</v>
      </c>
      <c r="E15" s="406"/>
      <c r="F15" s="406"/>
      <c r="G15" s="406"/>
      <c r="H15" s="406"/>
      <c r="I15" s="406"/>
      <c r="J15" s="389"/>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ustomHeight="1">
      <c r="A16" s="49"/>
      <c r="B16" s="51" t="str">
        <f ca="1">OFFSET(L!$C$1,MATCH("Declaration"&amp;ADDRESS(ROW(),COLUMN(),4),L!$A:$A,0)-1,SL,,)</f>
        <v>Email – Contact (*):</v>
      </c>
      <c r="C16" s="93"/>
      <c r="D16" s="403" t="s">
        <v>15496</v>
      </c>
      <c r="E16" s="404"/>
      <c r="F16" s="404"/>
      <c r="G16" s="404"/>
      <c r="H16" s="404"/>
      <c r="I16" s="404"/>
      <c r="J16" s="405"/>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ustomHeight="1">
      <c r="A17" s="49"/>
      <c r="B17" s="51" t="str">
        <f ca="1">OFFSET(L!$C$1,MATCH("Declaration"&amp;ADDRESS(ROW(),COLUMN(),4),L!$A:$A,0)-1,SL,,)</f>
        <v>Phone – Contact (*):</v>
      </c>
      <c r="C17" s="93"/>
      <c r="D17" s="388" t="s">
        <v>15501</v>
      </c>
      <c r="E17" s="406"/>
      <c r="F17" s="406"/>
      <c r="G17" s="406"/>
      <c r="H17" s="406"/>
      <c r="I17" s="406"/>
      <c r="J17" s="389"/>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88" t="s">
        <v>15502</v>
      </c>
      <c r="E18" s="406"/>
      <c r="F18" s="406"/>
      <c r="G18" s="406"/>
      <c r="H18" s="406"/>
      <c r="I18" s="406"/>
      <c r="J18" s="389"/>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ustomHeight="1">
      <c r="A19" s="49"/>
      <c r="B19" s="51" t="str">
        <f ca="1">OFFSET(L!$C$1,MATCH("Declaration"&amp;ADDRESS(ROW(),COLUMN(),4),L!$A:$A,0)-1,SL,,)</f>
        <v>Title - Authorizer:</v>
      </c>
      <c r="C19" s="93"/>
      <c r="D19" s="388" t="s">
        <v>15503</v>
      </c>
      <c r="E19" s="406"/>
      <c r="F19" s="406"/>
      <c r="G19" s="406"/>
      <c r="H19" s="406"/>
      <c r="I19" s="406"/>
      <c r="J19" s="389"/>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ustomHeight="1">
      <c r="A20" s="49"/>
      <c r="B20" s="51" t="str">
        <f ca="1">OFFSET(L!$C$1,MATCH("Declaration"&amp;ADDRESS(ROW(),COLUMN(),4),L!$A:$A,0)-1,SL,,)</f>
        <v>Email - Authorizer (*):</v>
      </c>
      <c r="C20" s="93"/>
      <c r="D20" s="421" t="s">
        <v>15497</v>
      </c>
      <c r="E20" s="422"/>
      <c r="F20" s="422"/>
      <c r="G20" s="422"/>
      <c r="H20" s="422"/>
      <c r="I20" s="422"/>
      <c r="J20" s="423"/>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34" t="s">
        <v>15501</v>
      </c>
      <c r="E21" s="435"/>
      <c r="F21" s="435"/>
      <c r="G21" s="435"/>
      <c r="H21" s="435"/>
      <c r="I21" s="435"/>
      <c r="J21" s="436"/>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7">
        <v>43662</v>
      </c>
      <c r="E22" s="438"/>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7"/>
      <c r="E23" s="407"/>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9" t="str">
        <f ca="1">OFFSET(L!$C$1,MATCH("Declaration"&amp;ADDRESS(ROW(),COLUMN(),4),L!$A:$A,0)-1,SL,,)</f>
        <v>Answer the following questions 1 - 7 based on the declaration scope indicated above</v>
      </c>
      <c r="C24" s="439"/>
      <c r="D24" s="439"/>
      <c r="E24" s="439"/>
      <c r="F24" s="439"/>
      <c r="G24" s="439"/>
      <c r="H24" s="439"/>
      <c r="I24" s="439"/>
      <c r="J24" s="439"/>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3" t="str">
        <f ca="1">OFFSET(L!$C$1,MATCH("Declaration"&amp;ADDRESS(ROW(),COLUMN(),4),L!$A:$A,0)-1,SL,,)</f>
        <v>Answer</v>
      </c>
      <c r="E25" s="393"/>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9" t="s">
        <v>558</v>
      </c>
      <c r="E26" s="380"/>
      <c r="F26" s="15"/>
      <c r="G26" s="381"/>
      <c r="H26" s="382"/>
      <c r="I26" s="382"/>
      <c r="J26" s="383"/>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9" t="s">
        <v>558</v>
      </c>
      <c r="E27" s="380"/>
      <c r="F27" s="15"/>
      <c r="G27" s="381"/>
      <c r="H27" s="382"/>
      <c r="I27" s="382"/>
      <c r="J27" s="383"/>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9" t="s">
        <v>558</v>
      </c>
      <c r="E28" s="380"/>
      <c r="F28" s="15"/>
      <c r="G28" s="381"/>
      <c r="H28" s="382"/>
      <c r="I28" s="382"/>
      <c r="J28" s="383"/>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9" t="s">
        <v>559</v>
      </c>
      <c r="E29" s="380"/>
      <c r="F29" s="15"/>
      <c r="G29" s="381"/>
      <c r="H29" s="382"/>
      <c r="I29" s="382"/>
      <c r="J29" s="383"/>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9" t="str">
        <f ca="1">D25</f>
        <v>Answer</v>
      </c>
      <c r="E31" s="399"/>
      <c r="F31" s="21"/>
      <c r="G31" s="55" t="str">
        <f ca="1">G25</f>
        <v>Comments</v>
      </c>
      <c r="H31" s="55"/>
      <c r="I31" s="55"/>
      <c r="J31" s="99"/>
      <c r="K31" s="47"/>
      <c r="L31" s="140" t="s">
        <v>1369</v>
      </c>
      <c r="M31" s="134"/>
      <c r="N31" s="134"/>
      <c r="O31" s="135"/>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7" t="s">
        <v>558</v>
      </c>
      <c r="E32" s="398"/>
      <c r="F32" s="58"/>
      <c r="G32" s="381"/>
      <c r="H32" s="382"/>
      <c r="I32" s="382"/>
      <c r="J32" s="383"/>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9" t="s">
        <v>558</v>
      </c>
      <c r="E33" s="380"/>
      <c r="F33" s="58"/>
      <c r="G33" s="381"/>
      <c r="H33" s="382"/>
      <c r="I33" s="382"/>
      <c r="J33" s="383"/>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9" t="s">
        <v>558</v>
      </c>
      <c r="E34" s="380"/>
      <c r="F34" s="58"/>
      <c r="G34" s="381"/>
      <c r="H34" s="382"/>
      <c r="I34" s="382"/>
      <c r="J34" s="383"/>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9"/>
      <c r="E35" s="380"/>
      <c r="F35" s="58"/>
      <c r="G35" s="381"/>
      <c r="H35" s="382"/>
      <c r="I35" s="382"/>
      <c r="J35" s="383"/>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9" t="str">
        <f ca="1">D25</f>
        <v>Answer</v>
      </c>
      <c r="E37" s="399"/>
      <c r="F37" s="21"/>
      <c r="G37" s="55" t="str">
        <f ca="1">G25</f>
        <v>Comments</v>
      </c>
      <c r="H37" s="402"/>
      <c r="I37" s="402"/>
      <c r="J37" s="402"/>
      <c r="K37" s="47"/>
      <c r="L37" s="140" t="s">
        <v>1369</v>
      </c>
      <c r="M37" s="134"/>
      <c r="N37" s="134"/>
      <c r="O37" s="135"/>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9" t="s">
        <v>559</v>
      </c>
      <c r="E38" s="380"/>
      <c r="F38" s="58"/>
      <c r="G38" s="381"/>
      <c r="H38" s="382"/>
      <c r="I38" s="382"/>
      <c r="J38" s="383"/>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9" t="s">
        <v>558</v>
      </c>
      <c r="E39" s="380"/>
      <c r="F39" s="58"/>
      <c r="G39" s="433" t="s">
        <v>15504</v>
      </c>
      <c r="H39" s="382"/>
      <c r="I39" s="382"/>
      <c r="J39" s="383"/>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9" t="s">
        <v>559</v>
      </c>
      <c r="E40" s="380"/>
      <c r="F40" s="58"/>
      <c r="G40" s="381"/>
      <c r="H40" s="382"/>
      <c r="I40" s="382"/>
      <c r="J40" s="383"/>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9"/>
      <c r="E41" s="380"/>
      <c r="F41" s="58"/>
      <c r="G41" s="381"/>
      <c r="H41" s="382"/>
      <c r="I41" s="382"/>
      <c r="J41" s="383"/>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9" t="str">
        <f ca="1">D25</f>
        <v>Answer</v>
      </c>
      <c r="E43" s="399"/>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79" t="s">
        <v>559</v>
      </c>
      <c r="E44" s="380"/>
      <c r="F44" s="58"/>
      <c r="G44" s="381"/>
      <c r="H44" s="382"/>
      <c r="I44" s="382"/>
      <c r="J44" s="383"/>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9" t="s">
        <v>559</v>
      </c>
      <c r="E45" s="380"/>
      <c r="F45" s="58"/>
      <c r="G45" s="381"/>
      <c r="H45" s="382"/>
      <c r="I45" s="382"/>
      <c r="J45" s="383"/>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9" t="s">
        <v>559</v>
      </c>
      <c r="E46" s="380"/>
      <c r="F46" s="58"/>
      <c r="G46" s="381"/>
      <c r="H46" s="382"/>
      <c r="I46" s="382"/>
      <c r="J46" s="383"/>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9"/>
      <c r="E47" s="380"/>
      <c r="F47" s="58"/>
      <c r="G47" s="381"/>
      <c r="H47" s="382"/>
      <c r="I47" s="382"/>
      <c r="J47" s="383"/>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9" t="str">
        <f ca="1">D25</f>
        <v>Answer</v>
      </c>
      <c r="E49" s="399"/>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400">
        <v>1</v>
      </c>
      <c r="E50" s="401"/>
      <c r="F50" s="58"/>
      <c r="G50" s="381"/>
      <c r="H50" s="382"/>
      <c r="I50" s="382"/>
      <c r="J50" s="383"/>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400">
        <v>1</v>
      </c>
      <c r="E51" s="401"/>
      <c r="F51" s="58"/>
      <c r="G51" s="381"/>
      <c r="H51" s="382"/>
      <c r="I51" s="382"/>
      <c r="J51" s="383"/>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400">
        <v>1</v>
      </c>
      <c r="E52" s="401"/>
      <c r="F52" s="58"/>
      <c r="G52" s="381"/>
      <c r="H52" s="382"/>
      <c r="I52" s="382"/>
      <c r="J52" s="383"/>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400"/>
      <c r="E53" s="401"/>
      <c r="F53" s="58"/>
      <c r="G53" s="381"/>
      <c r="H53" s="382"/>
      <c r="I53" s="382"/>
      <c r="J53" s="383"/>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9" t="str">
        <f ca="1">D25</f>
        <v>Answer</v>
      </c>
      <c r="E55" s="399"/>
      <c r="F55" s="21"/>
      <c r="G55" s="55" t="str">
        <f ca="1">G25</f>
        <v>Comments</v>
      </c>
      <c r="H55" s="392"/>
      <c r="I55" s="392"/>
      <c r="J55" s="392"/>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97" t="s">
        <v>558</v>
      </c>
      <c r="E56" s="398"/>
      <c r="F56" s="58"/>
      <c r="G56" s="381"/>
      <c r="H56" s="382"/>
      <c r="I56" s="382"/>
      <c r="J56" s="383"/>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9" t="s">
        <v>558</v>
      </c>
      <c r="E57" s="380"/>
      <c r="F57" s="58"/>
      <c r="G57" s="381"/>
      <c r="H57" s="382"/>
      <c r="I57" s="382"/>
      <c r="J57" s="383"/>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9" t="s">
        <v>558</v>
      </c>
      <c r="E58" s="380"/>
      <c r="F58" s="58"/>
      <c r="G58" s="381"/>
      <c r="H58" s="382"/>
      <c r="I58" s="382"/>
      <c r="J58" s="383"/>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9"/>
      <c r="E59" s="380"/>
      <c r="F59" s="58"/>
      <c r="G59" s="381"/>
      <c r="H59" s="382"/>
      <c r="I59" s="382"/>
      <c r="J59" s="383"/>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9" t="str">
        <f ca="1">D25</f>
        <v>Answer</v>
      </c>
      <c r="E61" s="399"/>
      <c r="F61" s="21"/>
      <c r="G61" s="55" t="str">
        <f ca="1">G25</f>
        <v>Comments</v>
      </c>
      <c r="H61" s="392" t="str">
        <f>IF(Q69="(*)","Click here to enter smelter names","")</f>
        <v/>
      </c>
      <c r="I61" s="392"/>
      <c r="J61" s="392"/>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79" t="s">
        <v>558</v>
      </c>
      <c r="E62" s="380"/>
      <c r="F62" s="59"/>
      <c r="G62" s="381"/>
      <c r="H62" s="382"/>
      <c r="I62" s="382"/>
      <c r="J62" s="383"/>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9" t="s">
        <v>558</v>
      </c>
      <c r="E63" s="380"/>
      <c r="F63" s="59"/>
      <c r="G63" s="381"/>
      <c r="H63" s="382"/>
      <c r="I63" s="382"/>
      <c r="J63" s="383"/>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9" t="s">
        <v>558</v>
      </c>
      <c r="E64" s="380"/>
      <c r="F64" s="59"/>
      <c r="G64" s="381"/>
      <c r="H64" s="382"/>
      <c r="I64" s="382"/>
      <c r="J64" s="383"/>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9"/>
      <c r="E65" s="380"/>
      <c r="F65" s="61"/>
      <c r="G65" s="381"/>
      <c r="H65" s="382"/>
      <c r="I65" s="382"/>
      <c r="J65" s="383"/>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4" t="str">
        <f ca="1">OFFSET(L!$C$1,MATCH("Declaration"&amp;ADDRESS(ROW(),COLUMN(),4),L!$A:$A,0)-1,SL,,)</f>
        <v>Answer the Following Questions at a Company Level</v>
      </c>
      <c r="C67" s="384"/>
      <c r="D67" s="384"/>
      <c r="E67" s="384"/>
      <c r="F67" s="384"/>
      <c r="G67" s="384"/>
      <c r="H67" s="384"/>
      <c r="I67" s="384"/>
      <c r="J67" s="384"/>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3" t="str">
        <f ca="1">D25</f>
        <v>Answer</v>
      </c>
      <c r="E68" s="393"/>
      <c r="F68" s="64"/>
      <c r="G68" s="393" t="str">
        <f ca="1">G25</f>
        <v>Comments</v>
      </c>
      <c r="H68" s="393" t="e">
        <f>HLOOKUP(SL,LT,$O68,0)</f>
        <v>#NAME?</v>
      </c>
      <c r="I68" s="393"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9" t="s">
        <v>558</v>
      </c>
      <c r="E69" s="380"/>
      <c r="F69" s="68"/>
      <c r="G69" s="381"/>
      <c r="H69" s="382"/>
      <c r="I69" s="382"/>
      <c r="J69" s="383"/>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90"/>
      <c r="H70" s="390"/>
      <c r="I70" s="390"/>
      <c r="J70" s="390"/>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9" t="s">
        <v>558</v>
      </c>
      <c r="E71" s="380"/>
      <c r="F71" s="68"/>
      <c r="G71" s="408" t="s">
        <v>15495</v>
      </c>
      <c r="H71" s="409"/>
      <c r="I71" s="409"/>
      <c r="J71" s="410"/>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9" t="s">
        <v>558</v>
      </c>
      <c r="E73" s="380"/>
      <c r="F73" s="68"/>
      <c r="G73" s="381"/>
      <c r="H73" s="382"/>
      <c r="I73" s="382"/>
      <c r="J73" s="383"/>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9" t="s">
        <v>558</v>
      </c>
      <c r="E75" s="380"/>
      <c r="F75" s="68"/>
      <c r="G75" s="381"/>
      <c r="H75" s="382"/>
      <c r="I75" s="382"/>
      <c r="J75" s="383"/>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9" t="s">
        <v>558</v>
      </c>
      <c r="E77" s="380"/>
      <c r="F77" s="68"/>
      <c r="G77" s="381"/>
      <c r="H77" s="382"/>
      <c r="I77" s="382"/>
      <c r="J77" s="383"/>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8" t="s">
        <v>13268</v>
      </c>
      <c r="E79" s="389"/>
      <c r="F79" s="68"/>
      <c r="G79" s="381" t="s">
        <v>15494</v>
      </c>
      <c r="H79" s="382"/>
      <c r="I79" s="382"/>
      <c r="J79" s="383"/>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90"/>
      <c r="H80" s="390"/>
      <c r="I80" s="390"/>
      <c r="J80" s="390"/>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9" t="s">
        <v>558</v>
      </c>
      <c r="E81" s="380"/>
      <c r="F81" s="68"/>
      <c r="G81" s="381"/>
      <c r="H81" s="382"/>
      <c r="I81" s="382"/>
      <c r="J81" s="383"/>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91"/>
      <c r="H82" s="391"/>
      <c r="I82" s="391"/>
      <c r="J82" s="391"/>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9" t="s">
        <v>558</v>
      </c>
      <c r="E83" s="380"/>
      <c r="F83" s="68"/>
      <c r="G83" s="381"/>
      <c r="H83" s="382"/>
      <c r="I83" s="382"/>
      <c r="J83" s="383"/>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9" t="s">
        <v>559</v>
      </c>
      <c r="E85" s="380"/>
      <c r="F85" s="68"/>
      <c r="G85" s="381"/>
      <c r="H85" s="382"/>
      <c r="I85" s="382"/>
      <c r="J85" s="383"/>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7" t="str">
        <f>IF(OR($D$8="",$I$3=""),"","Click here to check required fields completion")</f>
        <v/>
      </c>
      <c r="C86" s="387"/>
      <c r="D86" s="387"/>
      <c r="E86" s="387"/>
      <c r="F86" s="387"/>
      <c r="G86" s="387"/>
      <c r="H86" s="387"/>
      <c r="I86" s="387"/>
      <c r="J86" s="387"/>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5" t="str">
        <f ca="1">OFFSET(L!$C$1,MATCH("General"&amp;"Cpy",L!$A:$A,0)-1,SL,,)</f>
        <v>© 2019 Responsible Minerals Initiative. All rights reserved.</v>
      </c>
      <c r="B87" s="386"/>
      <c r="C87" s="386"/>
      <c r="D87" s="386"/>
      <c r="E87" s="386"/>
      <c r="F87" s="386"/>
      <c r="G87" s="386"/>
      <c r="H87" s="386"/>
      <c r="I87" s="386"/>
      <c r="J87" s="386"/>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92" priority="98" stopIfTrue="1">
      <formula>AND(OR($D$26="No",AND($D$26="Yes",$D$32="No")),OR($D$27="No",AND($D$27="Yes",$D$33="No")), OR($D$28="No",AND($D$28="Yes",$D$34="No")), OR($D$29="No",AND($D$29="Yes",$D$35="No")))</formula>
    </cfRule>
    <cfRule type="expression" dxfId="91" priority="99" stopIfTrue="1">
      <formula>IF(D69="",TRUE)</formula>
    </cfRule>
  </conditionalFormatting>
  <conditionalFormatting sqref="D26:E26">
    <cfRule type="expression" dxfId="90" priority="150" stopIfTrue="1">
      <formula>IF($D$26="",TRUE)</formula>
    </cfRule>
  </conditionalFormatting>
  <conditionalFormatting sqref="D27:E27">
    <cfRule type="expression" dxfId="89" priority="157" stopIfTrue="1">
      <formula>IF($D$27="",TRUE)</formula>
    </cfRule>
  </conditionalFormatting>
  <conditionalFormatting sqref="D28:E28">
    <cfRule type="expression" dxfId="88" priority="158" stopIfTrue="1">
      <formula>IF($D$28="",TRUE)</formula>
    </cfRule>
  </conditionalFormatting>
  <conditionalFormatting sqref="D29:E29">
    <cfRule type="expression" dxfId="87" priority="159" stopIfTrue="1">
      <formula>IF($D$29="",TRUE)</formula>
    </cfRule>
  </conditionalFormatting>
  <conditionalFormatting sqref="D9:G9">
    <cfRule type="expression" dxfId="86" priority="165" stopIfTrue="1">
      <formula>IF($D$9="",TRUE)</formula>
    </cfRule>
  </conditionalFormatting>
  <conditionalFormatting sqref="D22:E22">
    <cfRule type="expression" dxfId="85" priority="172" stopIfTrue="1">
      <formula>IF($D$22="",TRUE)</formula>
    </cfRule>
  </conditionalFormatting>
  <conditionalFormatting sqref="D10:J10">
    <cfRule type="expression" dxfId="84" priority="69" stopIfTrue="1">
      <formula>IF($D$9=$Q$9,TRUE)</formula>
    </cfRule>
    <cfRule type="expression" dxfId="83" priority="179" stopIfTrue="1">
      <formula>IF(AND($D$10="",$D$9=$R$9),TRUE)</formula>
    </cfRule>
  </conditionalFormatting>
  <conditionalFormatting sqref="D34:E34 D40:E40 D46:E46 D52:E52 D58:E58 D64:E64">
    <cfRule type="expression" dxfId="82" priority="62" stopIfTrue="1">
      <formula>$P$28=""</formula>
    </cfRule>
  </conditionalFormatting>
  <conditionalFormatting sqref="D35:E35 D41:E41 D47:E47 D53:E53 D59:E59 D65:E65">
    <cfRule type="expression" dxfId="81" priority="177" stopIfTrue="1">
      <formula>$P$29=""</formula>
    </cfRule>
  </conditionalFormatting>
  <conditionalFormatting sqref="D32:E32">
    <cfRule type="expression" dxfId="80" priority="155" stopIfTrue="1">
      <formula>$P$26=""</formula>
    </cfRule>
  </conditionalFormatting>
  <conditionalFormatting sqref="D32:E32">
    <cfRule type="expression" dxfId="79" priority="68" stopIfTrue="1">
      <formula>IF(AND(OR($D$26="Yes",$D$26=""),$D$32=""),1,0)</formula>
    </cfRule>
  </conditionalFormatting>
  <conditionalFormatting sqref="D38 D44 D50 D56 D62">
    <cfRule type="expression" dxfId="78" priority="64" stopIfTrue="1">
      <formula>$P$32=""</formula>
    </cfRule>
  </conditionalFormatting>
  <conditionalFormatting sqref="D39:E39 D45 D51 D57 D63">
    <cfRule type="expression" dxfId="77" priority="63" stopIfTrue="1">
      <formula>$P$33=""</formula>
    </cfRule>
  </conditionalFormatting>
  <conditionalFormatting sqref="D40 D46 D52 D58 D64">
    <cfRule type="expression" dxfId="76" priority="53" stopIfTrue="1">
      <formula>$P$34=""</formula>
    </cfRule>
    <cfRule type="expression" dxfId="75" priority="175" stopIfTrue="1">
      <formula>IF(AND(OR($D$28="Yes",$D$28=""),D40=""),1,0)</formula>
    </cfRule>
  </conditionalFormatting>
  <conditionalFormatting sqref="D41 D47 D53 D59 D65">
    <cfRule type="expression" dxfId="74" priority="61" stopIfTrue="1">
      <formula>$P$35=""</formula>
    </cfRule>
  </conditionalFormatting>
  <conditionalFormatting sqref="D38:E38 D44:E44 D50:E50 D56:E56 D62:E62">
    <cfRule type="expression" dxfId="73" priority="66" stopIfTrue="1">
      <formula>$P$26=""</formula>
    </cfRule>
    <cfRule type="expression" dxfId="72" priority="67" stopIfTrue="1">
      <formula>IF(AND(OR($D$26="Yes",$D$26=""),D38=""),1,0)</formula>
    </cfRule>
  </conditionalFormatting>
  <conditionalFormatting sqref="D39:E39 D45:E45 D51:E51 D57:E57 D63:E63">
    <cfRule type="expression" dxfId="71" priority="173" stopIfTrue="1">
      <formula>$P$39=""</formula>
    </cfRule>
    <cfRule type="expression" dxfId="70" priority="174" stopIfTrue="1">
      <formula>IF(AND(OR($D$27="Yes",$D$27=""),D39=""),1,0)</formula>
    </cfRule>
  </conditionalFormatting>
  <conditionalFormatting sqref="D33:E33">
    <cfRule type="expression" dxfId="69" priority="55" stopIfTrue="1">
      <formula>IF(AND(OR($D$27="Yes",$D$27=""),$D$33=""),1,0)</formula>
    </cfRule>
    <cfRule type="expression" dxfId="68" priority="56" stopIfTrue="1">
      <formula>$P$27=""</formula>
    </cfRule>
  </conditionalFormatting>
  <conditionalFormatting sqref="D34:E34">
    <cfRule type="expression" dxfId="67" priority="176" stopIfTrue="1">
      <formula>IF(AND(OR($D$28="Yes",$D$28=""),$D$34=""),1,0)</formula>
    </cfRule>
  </conditionalFormatting>
  <conditionalFormatting sqref="D41:E41 D47:E47 D53:E53 D59:E59 D65:E65">
    <cfRule type="expression" dxfId="66" priority="178" stopIfTrue="1">
      <formula>IF(AND(OR($D$29="Yes",$D$29=""),D41=""),1,0)</formula>
    </cfRule>
  </conditionalFormatting>
  <conditionalFormatting sqref="D35:E35">
    <cfRule type="expression" dxfId="65" priority="52" stopIfTrue="1">
      <formula>IF(AND(OR($D$29="Yes",$D$29=""),$D$35=""),1,0)</formula>
    </cfRule>
  </conditionalFormatting>
  <conditionalFormatting sqref="G79:J79">
    <cfRule type="expression" dxfId="64" priority="28" stopIfTrue="1">
      <formula>IF(AND($D$79="Yes, using other format (describe)",$G$79=""),TRUE)</formula>
    </cfRule>
  </conditionalFormatting>
  <conditionalFormatting sqref="G71:J71">
    <cfRule type="expression" dxfId="63" priority="27" stopIfTrue="1">
      <formula>IF(AND($D$71="Yes",$G$71=""),TRUE)</formula>
    </cfRule>
  </conditionalFormatting>
  <conditionalFormatting sqref="D8:J8">
    <cfRule type="expression" dxfId="62" priority="19" stopIfTrue="1">
      <formula>IF($D$8="",TRUE)</formula>
    </cfRule>
  </conditionalFormatting>
  <conditionalFormatting sqref="D15:J15">
    <cfRule type="expression" dxfId="61" priority="13" stopIfTrue="1">
      <formula>IF($D$15="",TRUE)</formula>
    </cfRule>
  </conditionalFormatting>
  <conditionalFormatting sqref="D16:J16">
    <cfRule type="expression" dxfId="60" priority="14" stopIfTrue="1">
      <formula>IF($D$16="",TRUE)</formula>
    </cfRule>
  </conditionalFormatting>
  <conditionalFormatting sqref="D17:J17">
    <cfRule type="expression" dxfId="59" priority="15" stopIfTrue="1">
      <formula>IF($D$17="",TRUE)</formula>
    </cfRule>
  </conditionalFormatting>
  <conditionalFormatting sqref="D18:J18">
    <cfRule type="expression" dxfId="58" priority="16" stopIfTrue="1">
      <formula>IF($D$18="",TRUE)</formula>
    </cfRule>
  </conditionalFormatting>
  <conditionalFormatting sqref="D20:J20">
    <cfRule type="expression" dxfId="57" priority="17" stopIfTrue="1">
      <formula>IF($D$20="",TRUE)</formula>
    </cfRule>
  </conditionalFormatting>
  <conditionalFormatting sqref="D21:J21">
    <cfRule type="expression" dxfId="56" priority="18" stopIfTrue="1">
      <formula>IF($D$21="",TRUE)</formula>
    </cfRule>
  </conditionalFormatting>
  <conditionalFormatting sqref="D15:J15">
    <cfRule type="expression" dxfId="55" priority="12" stopIfTrue="1">
      <formula>IF($D$15="",TRUE)</formula>
    </cfRule>
  </conditionalFormatting>
  <conditionalFormatting sqref="D16:J16">
    <cfRule type="expression" dxfId="54" priority="11" stopIfTrue="1">
      <formula>IF($D$16="",TRUE)</formula>
    </cfRule>
  </conditionalFormatting>
  <conditionalFormatting sqref="D17:J17">
    <cfRule type="expression" dxfId="53" priority="10" stopIfTrue="1">
      <formula>IF($D$17="",TRUE)</formula>
    </cfRule>
  </conditionalFormatting>
  <conditionalFormatting sqref="D18:J18">
    <cfRule type="expression" dxfId="52" priority="9" stopIfTrue="1">
      <formula>IF($D$18="",TRUE)</formula>
    </cfRule>
  </conditionalFormatting>
  <conditionalFormatting sqref="D20:J20">
    <cfRule type="expression" dxfId="51" priority="8" stopIfTrue="1">
      <formula>IF($D$20="",TRUE)</formula>
    </cfRule>
  </conditionalFormatting>
  <conditionalFormatting sqref="D21:J21">
    <cfRule type="expression" dxfId="50" priority="7" stopIfTrue="1">
      <formula>IF($D$21="",TRUE)</formula>
    </cfRule>
  </conditionalFormatting>
  <conditionalFormatting sqref="D15:J15">
    <cfRule type="expression" dxfId="49" priority="6" stopIfTrue="1">
      <formula>IF($D$15="",TRUE)</formula>
    </cfRule>
  </conditionalFormatting>
  <conditionalFormatting sqref="D16:J16">
    <cfRule type="expression" dxfId="48" priority="5" stopIfTrue="1">
      <formula>IF($D$16="",TRUE)</formula>
    </cfRule>
  </conditionalFormatting>
  <conditionalFormatting sqref="D17:J17">
    <cfRule type="expression" dxfId="47" priority="4" stopIfTrue="1">
      <formula>IF($D$17="",TRUE)</formula>
    </cfRule>
  </conditionalFormatting>
  <conditionalFormatting sqref="D18:J18">
    <cfRule type="expression" dxfId="46" priority="3" stopIfTrue="1">
      <formula>IF($D$18="",TRUE)</formula>
    </cfRule>
  </conditionalFormatting>
  <conditionalFormatting sqref="D20:J20">
    <cfRule type="expression" dxfId="45" priority="2" stopIfTrue="1">
      <formula>IF($D$20="",TRUE)</formula>
    </cfRule>
  </conditionalFormatting>
  <conditionalFormatting sqref="D21:J21">
    <cfRule type="expression" dxfId="44" priority="1"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39" display="http://www.msmelt.com/abt_policy.htm                                                                                                                                                                                         MSC POLICY ON CONFLICT MINERALS :_x000a_"/>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13" zoomScale="70" zoomScaleNormal="70" zoomScalePageLayoutView="55" workbookViewId="0">
      <selection activeCell="A19" sqref="A19"/>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40" t="str">
        <f ca="1">OFFSET(L!$C$1,MATCH("Smelter List"&amp;ADDRESS(ROW(),COLUMN(),4),L!$A:$A,0)-1,SL,,)</f>
        <v>Link to "RMAP Conformant Smelter List"</v>
      </c>
      <c r="K2" s="441"/>
      <c r="L2" s="441"/>
      <c r="M2" s="441"/>
      <c r="N2" s="441"/>
      <c r="O2" s="441"/>
      <c r="P2" s="232"/>
      <c r="Q2" s="233"/>
      <c r="R2" s="234"/>
      <c r="S2" s="234"/>
      <c r="T2" s="234"/>
      <c r="U2" s="261"/>
      <c r="V2" s="261"/>
      <c r="W2" s="262"/>
      <c r="X2" s="261"/>
      <c r="Y2" s="261"/>
      <c r="Z2" s="261"/>
      <c r="AH2" s="178" t="s">
        <v>558</v>
      </c>
    </row>
    <row r="3" spans="1:34" s="263" customFormat="1" ht="255.6"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64"/>
      <c r="G3" s="443" t="str">
        <f ca="1">OFFSET(L!$C$1,MATCH("General"&amp;"Cpy",L!$A:$A,0)-1,SL,,)</f>
        <v>© 2019 Responsible Minerals Initiative. All rights reserved.</v>
      </c>
      <c r="H3" s="443"/>
      <c r="I3" s="444"/>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t="s">
        <v>824</v>
      </c>
      <c r="B5" s="216" t="str">
        <f ca="1">IF(LEN(A5)=0,"",INDEX('Smelter Look-up'!$A:$A,MATCH($A5,'Smelter Look-up'!$E:$E,0)))</f>
        <v>Gold</v>
      </c>
      <c r="C5" s="220" t="str">
        <f ca="1">IF(LEN(A5)=0,"",INDEX('Smelter Look-up'!$C:$C,MATCH($A5,'Smelter Look-up'!$E:$E,0)))</f>
        <v>Tanaka Kikinzoku Kogyo K.K.</v>
      </c>
      <c r="D5" s="216"/>
      <c r="E5" s="216" t="str">
        <f ca="1">IF(ISERROR($V5),"",OFFSET('Smelter Look-up'!$D$4,$V5-4,0)&amp;"")</f>
        <v>JAPAN</v>
      </c>
      <c r="F5" s="216" t="str">
        <f ca="1">IF(ISERROR($V5),"",OFFSET('Smelter Look-up'!$E$4,$V5-4,0))</f>
        <v>CID001875</v>
      </c>
      <c r="G5" s="216" t="str">
        <f ca="1">IF(C5=$X$4,"Enter smelter details", IF(ISERROR($V5),"",OFFSET('Smelter Look-up'!$F$4,$V5-4,0)))</f>
        <v>RMI</v>
      </c>
      <c r="H5" s="217">
        <f ca="1">IF(ISERROR($V5),"",OFFSET('Smelter Look-up'!$G$4,$V5-4,0))</f>
        <v>0</v>
      </c>
      <c r="I5" s="218" t="str">
        <f ca="1">IF(ISERROR($V5),"",OFFSET('Smelter Look-up'!$H$4,$V5-4,0))</f>
        <v>Hiratsuka</v>
      </c>
      <c r="J5" s="218" t="str">
        <f ca="1">IF(ISERROR($V5),"",OFFSET('Smelter Look-up'!$I$4,$V5-4,0))</f>
        <v>Kanagawa</v>
      </c>
      <c r="K5" s="267"/>
      <c r="L5" s="267"/>
      <c r="M5" s="267"/>
      <c r="N5" s="267"/>
      <c r="O5" s="267"/>
      <c r="P5" s="219"/>
      <c r="Q5" s="268"/>
      <c r="R5" s="216" t="str">
        <f ca="1">IF(ISERROR($V5),"",OFFSET('Smelter Look-up'!$C$4,$V5-4,0)&amp;"")</f>
        <v>Tanaka Kikinzoku Kogyo K.K.</v>
      </c>
      <c r="S5" s="224" t="str">
        <f t="shared" ref="S5:S68" ca="1" si="0">IF(B5="","",IF(ISERROR(MATCH($E5,CL,0)),"Unknown",INDIRECT("'C'!$A$"&amp;MATCH($E5,CL,0)+1)))</f>
        <v>JP</v>
      </c>
      <c r="T5" s="224" t="str">
        <f ca="1">IF(B5="","",IF(ISERROR(MATCH($J5,SorP!$B$1:$B$6230,0)),"",INDIRECT("'SorP'!$A$"&amp;MATCH($J5,SorP!$B$1:$B$6230,0))))</f>
        <v>JP-14</v>
      </c>
      <c r="U5" s="239"/>
      <c r="V5" s="269">
        <f ca="1">IF(C5="",NA(),MATCH($B5&amp;$C5,'Smelter Look-up'!$J:$J,0))</f>
        <v>243</v>
      </c>
      <c r="W5" s="270"/>
      <c r="X5" s="270">
        <f t="shared" ref="X5:X68" ca="1" si="1">IF(AND(C5="Smelter not listed",OR(LEN(D5)=0,LEN(E5)=0)),1,0)</f>
        <v>0</v>
      </c>
      <c r="Y5" s="270"/>
      <c r="Z5" s="270"/>
      <c r="AB5" s="272" t="str">
        <f t="shared" ref="AB5:AB68" ca="1" si="2">B5&amp;C5</f>
        <v>GoldTanaka Kikinzoku Kogyo K.K.</v>
      </c>
    </row>
    <row r="6" spans="1:34" s="271" customFormat="1" ht="20.100000000000001" customHeight="1">
      <c r="A6" s="215" t="s">
        <v>896</v>
      </c>
      <c r="B6" s="216" t="str">
        <f ca="1">IF(LEN(A6)=0,"",INDEX('Smelter Look-up'!$A:$A,MATCH($A6,'Smelter Look-up'!$E:$E,0)))</f>
        <v>Tin</v>
      </c>
      <c r="C6" s="220" t="str">
        <f ca="1">IF(LEN(A6)=0,"",INDEX('Smelter Look-up'!$C:$C,MATCH($A6,'Smelter Look-up'!$E:$E,0)))</f>
        <v>Thaisarco</v>
      </c>
      <c r="D6" s="216"/>
      <c r="E6" s="216" t="str">
        <f ca="1">IF(ISERROR($V6),"",OFFSET('Smelter Look-up'!$D$4,$V6-4,0)&amp;"")</f>
        <v>THAILAND</v>
      </c>
      <c r="F6" s="216" t="str">
        <f ca="1">IF(ISERROR($V6),"",OFFSET('Smelter Look-up'!$E$4,$V6-4,0))</f>
        <v>CID001898</v>
      </c>
      <c r="G6" s="216" t="str">
        <f ca="1">IF(C6=$X$4,"Enter smelter details", IF(ISERROR($V6),"",OFFSET('Smelter Look-up'!$F$4,$V6-4,0)))</f>
        <v>RMI</v>
      </c>
      <c r="H6" s="217">
        <f ca="1">IF(ISERROR($V6),"",OFFSET('Smelter Look-up'!$G$4,$V6-4,0))</f>
        <v>0</v>
      </c>
      <c r="I6" s="218" t="str">
        <f ca="1">IF(ISERROR($V6),"",OFFSET('Smelter Look-up'!$H$4,$V6-4,0))</f>
        <v>Amphur Muang</v>
      </c>
      <c r="J6" s="218" t="str">
        <f ca="1">IF(ISERROR($V6),"",OFFSET('Smelter Look-up'!$I$4,$V6-4,0))</f>
        <v>Phuket</v>
      </c>
      <c r="K6" s="267"/>
      <c r="L6" s="267"/>
      <c r="M6" s="267"/>
      <c r="N6" s="267"/>
      <c r="O6" s="267"/>
      <c r="P6" s="219"/>
      <c r="Q6" s="268"/>
      <c r="R6" s="216" t="str">
        <f ca="1">IF(ISERROR($V6),"",OFFSET('Smelter Look-up'!$C$4,$V6-4,0)&amp;"")</f>
        <v>Thaisarco</v>
      </c>
      <c r="S6" s="224" t="str">
        <f t="shared" ca="1" si="0"/>
        <v>TH</v>
      </c>
      <c r="T6" s="224" t="str">
        <f ca="1">IF(B6="","",IF(ISERROR(MATCH($J6,SorP!$B$1:$B$6230,0)),"",INDIRECT("'SorP'!$A$"&amp;MATCH($J6,SorP!$B$1:$B$6230,0))))</f>
        <v>TH-83</v>
      </c>
      <c r="U6" s="239"/>
      <c r="V6" s="269">
        <f ca="1">IF(C6="",NA(),MATCH($B6&amp;$C6,'Smelter Look-up'!$J:$J,0))</f>
        <v>488</v>
      </c>
      <c r="W6" s="270"/>
      <c r="X6" s="270">
        <f t="shared" ca="1" si="1"/>
        <v>0</v>
      </c>
      <c r="Y6" s="270"/>
      <c r="Z6" s="270"/>
      <c r="AB6" s="272" t="str">
        <f t="shared" ca="1" si="2"/>
        <v>TinThaisarco</v>
      </c>
    </row>
    <row r="7" spans="1:34" s="271" customFormat="1" ht="20.100000000000001" customHeight="1">
      <c r="A7" s="215" t="s">
        <v>862</v>
      </c>
      <c r="B7" s="216" t="str">
        <f ca="1">IF(LEN(A7)=0,"",INDEX('Smelter Look-up'!$A:$A,MATCH($A7,'Smelter Look-up'!$E:$E,0)))</f>
        <v>Tin</v>
      </c>
      <c r="C7" s="220" t="str">
        <f ca="1">IF(LEN(A7)=0,"",INDEX('Smelter Look-up'!$C:$C,MATCH($A7,'Smelter Look-up'!$E:$E,0)))</f>
        <v>CV United Smelting</v>
      </c>
      <c r="D7" s="216"/>
      <c r="E7" s="216" t="str">
        <f ca="1">IF(ISERROR($V7),"",OFFSET('Smelter Look-up'!$D$4,$V7-4,0)&amp;"")</f>
        <v>INDONESIA</v>
      </c>
      <c r="F7" s="216" t="str">
        <f ca="1">IF(ISERROR($V7),"",OFFSET('Smelter Look-up'!$E$4,$V7-4,0))</f>
        <v>CID000315</v>
      </c>
      <c r="G7" s="216" t="str">
        <f ca="1">IF(C7=$X$4,"Enter smelter details", IF(ISERROR($V7),"",OFFSET('Smelter Look-up'!$F$4,$V7-4,0)))</f>
        <v>RMI</v>
      </c>
      <c r="H7" s="217">
        <f ca="1">IF(ISERROR($V7),"",OFFSET('Smelter Look-up'!$G$4,$V7-4,0))</f>
        <v>0</v>
      </c>
      <c r="I7" s="218" t="str">
        <f ca="1">IF(ISERROR($V7),"",OFFSET('Smelter Look-up'!$H$4,$V7-4,0))</f>
        <v>Pangkal Pinang</v>
      </c>
      <c r="J7" s="218" t="str">
        <f ca="1">IF(ISERROR($V7),"",OFFSET('Smelter Look-up'!$I$4,$V7-4,0))</f>
        <v>Kepulauan Bangka Belitung</v>
      </c>
      <c r="K7" s="267"/>
      <c r="L7" s="267"/>
      <c r="M7" s="267"/>
      <c r="N7" s="267"/>
      <c r="O7" s="267"/>
      <c r="P7" s="219"/>
      <c r="Q7" s="268"/>
      <c r="R7" s="216" t="str">
        <f ca="1">IF(ISERROR($V7),"",OFFSET('Smelter Look-up'!$C$4,$V7-4,0)&amp;"")</f>
        <v>CV United Smelting</v>
      </c>
      <c r="S7" s="224" t="str">
        <f t="shared" ca="1" si="0"/>
        <v>ID</v>
      </c>
      <c r="T7" s="224" t="str">
        <f ca="1">IF(B7="","",IF(ISERROR(MATCH($J7,SorP!$B$1:$B$6230,0)),"",INDIRECT("'SorP'!$A$"&amp;MATCH($J7,SorP!$B$1:$B$6230,0))))</f>
        <v>ID-BB</v>
      </c>
      <c r="U7" s="239"/>
      <c r="V7" s="269">
        <f ca="1">IF(C7="",NA(),MATCH($B7&amp;$C7,'Smelter Look-up'!$J:$J,0))</f>
        <v>374</v>
      </c>
      <c r="W7" s="270"/>
      <c r="X7" s="270">
        <f t="shared" ca="1" si="1"/>
        <v>0</v>
      </c>
      <c r="Y7" s="270"/>
      <c r="Z7" s="270"/>
      <c r="AB7" s="272" t="str">
        <f t="shared" ca="1" si="2"/>
        <v>TinCV United Smelting</v>
      </c>
    </row>
    <row r="8" spans="1:34" s="271" customFormat="1" ht="20.100000000000001" customHeight="1">
      <c r="A8" s="215" t="s">
        <v>871</v>
      </c>
      <c r="B8" s="216" t="str">
        <f ca="1">IF(LEN(A8)=0,"",INDEX('Smelter Look-up'!$A:$A,MATCH($A8,'Smelter Look-up'!$E:$E,0)))</f>
        <v>Tin</v>
      </c>
      <c r="C8" s="220" t="str">
        <f ca="1">IF(LEN(A8)=0,"",INDEX('Smelter Look-up'!$C:$C,MATCH($A8,'Smelter Look-up'!$E:$E,0)))</f>
        <v>Malaysia Smelting Corporation (MSC)</v>
      </c>
      <c r="D8" s="216"/>
      <c r="E8" s="216" t="str">
        <f ca="1">IF(ISERROR($V8),"",OFFSET('Smelter Look-up'!$D$4,$V8-4,0)&amp;"")</f>
        <v>MALAYSIA</v>
      </c>
      <c r="F8" s="216" t="str">
        <f ca="1">IF(ISERROR($V8),"",OFFSET('Smelter Look-up'!$E$4,$V8-4,0))</f>
        <v>CID001105</v>
      </c>
      <c r="G8" s="216" t="str">
        <f ca="1">IF(C8=$X$4,"Enter smelter details", IF(ISERROR($V8),"",OFFSET('Smelter Look-up'!$F$4,$V8-4,0)))</f>
        <v>RMI</v>
      </c>
      <c r="H8" s="217">
        <f ca="1">IF(ISERROR($V8),"",OFFSET('Smelter Look-up'!$G$4,$V8-4,0))</f>
        <v>0</v>
      </c>
      <c r="I8" s="218" t="str">
        <f ca="1">IF(ISERROR($V8),"",OFFSET('Smelter Look-up'!$H$4,$V8-4,0))</f>
        <v>Butterworth</v>
      </c>
      <c r="J8" s="218" t="str">
        <f ca="1">IF(ISERROR($V8),"",OFFSET('Smelter Look-up'!$I$4,$V8-4,0))</f>
        <v>Pulau Pinang</v>
      </c>
      <c r="K8" s="267"/>
      <c r="L8" s="267"/>
      <c r="M8" s="267"/>
      <c r="N8" s="267"/>
      <c r="O8" s="267"/>
      <c r="P8" s="219"/>
      <c r="Q8" s="268"/>
      <c r="R8" s="216" t="str">
        <f ca="1">IF(ISERROR($V8),"",OFFSET('Smelter Look-up'!$C$4,$V8-4,0)&amp;"")</f>
        <v>Malaysia Smelting Corporation (MSC)</v>
      </c>
      <c r="S8" s="224" t="str">
        <f t="shared" ca="1" si="0"/>
        <v>MY</v>
      </c>
      <c r="T8" s="224" t="str">
        <f ca="1">IF(B8="","",IF(ISERROR(MATCH($J8,SorP!$B$1:$B$6230,0)),"",INDIRECT("'SorP'!$A$"&amp;MATCH($J8,SorP!$B$1:$B$6230,0))))</f>
        <v>MY-07</v>
      </c>
      <c r="U8" s="239"/>
      <c r="V8" s="269">
        <f ca="1">IF(C8="",NA(),MATCH($B8&amp;$C8,'Smelter Look-up'!$J:$J,0))</f>
        <v>418</v>
      </c>
      <c r="W8" s="270"/>
      <c r="X8" s="270">
        <f t="shared" ca="1" si="1"/>
        <v>0</v>
      </c>
      <c r="Y8" s="270"/>
      <c r="Z8" s="270"/>
      <c r="AB8" s="272" t="str">
        <f t="shared" ca="1" si="2"/>
        <v>TinMalaysia Smelting Corporation (MSC)</v>
      </c>
    </row>
    <row r="9" spans="1:34" s="271" customFormat="1" ht="20.100000000000001" customHeight="1">
      <c r="A9" s="347" t="s">
        <v>2073</v>
      </c>
      <c r="B9" s="216" t="str">
        <f ca="1">IF(LEN(A9)=0,"",INDEX('Smelter Look-up'!$A:$A,MATCH($A9,'Smelter Look-up'!$E:$E,0)))</f>
        <v>Tin</v>
      </c>
      <c r="C9" s="220" t="str">
        <f ca="1">IF(LEN(A9)=0,"",INDEX('Smelter Look-up'!$C:$C,MATCH($A9,'Smelter Look-up'!$E:$E,0)))</f>
        <v>Metallo Belgium N.V.</v>
      </c>
      <c r="D9" s="216"/>
      <c r="E9" s="216" t="str">
        <f ca="1">IF(ISERROR($V9),"",OFFSET('Smelter Look-up'!$D$4,$V9-4,0)&amp;"")</f>
        <v>BELGIUM</v>
      </c>
      <c r="F9" s="216" t="str">
        <f ca="1">IF(ISERROR($V9),"",OFFSET('Smelter Look-up'!$E$4,$V9-4,0))</f>
        <v>CID002773</v>
      </c>
      <c r="G9" s="216" t="str">
        <f ca="1">IF(C9=$X$4,"Enter smelter details", IF(ISERROR($V9),"",OFFSET('Smelter Look-up'!$F$4,$V9-4,0)))</f>
        <v>RMI</v>
      </c>
      <c r="H9" s="217">
        <f ca="1">IF(ISERROR($V9),"",OFFSET('Smelter Look-up'!$G$4,$V9-4,0))</f>
        <v>0</v>
      </c>
      <c r="I9" s="218" t="str">
        <f ca="1">IF(ISERROR($V9),"",OFFSET('Smelter Look-up'!$H$4,$V9-4,0))</f>
        <v>Beerse</v>
      </c>
      <c r="J9" s="218" t="str">
        <f ca="1">IF(ISERROR($V9),"",OFFSET('Smelter Look-up'!$I$4,$V9-4,0))</f>
        <v>Antwerpen</v>
      </c>
      <c r="K9" s="267"/>
      <c r="L9" s="267"/>
      <c r="M9" s="267"/>
      <c r="N9" s="267"/>
      <c r="O9" s="267"/>
      <c r="P9" s="219"/>
      <c r="Q9" s="268"/>
      <c r="R9" s="216" t="str">
        <f ca="1">IF(ISERROR($V9),"",OFFSET('Smelter Look-up'!$C$4,$V9-4,0)&amp;"")</f>
        <v>Metallo Belgium N.V.</v>
      </c>
      <c r="S9" s="224" t="str">
        <f t="shared" ca="1" si="0"/>
        <v>BE</v>
      </c>
      <c r="T9" s="224" t="str">
        <f ca="1">IF(B9="","",IF(ISERROR(MATCH($J9,SorP!$B$1:$B$6230,0)),"",INDIRECT("'SorP'!$A$"&amp;MATCH($J9,SorP!$B$1:$B$6230,0))))</f>
        <v>BE-VAN</v>
      </c>
      <c r="U9" s="239"/>
      <c r="V9" s="269">
        <f ca="1">IF(C9="",NA(),MATCH($B9&amp;$C9,'Smelter Look-up'!$J:$J,0))</f>
        <v>423</v>
      </c>
      <c r="W9" s="270"/>
      <c r="X9" s="270">
        <f t="shared" ca="1" si="1"/>
        <v>0</v>
      </c>
      <c r="Y9" s="270"/>
      <c r="Z9" s="270"/>
      <c r="AB9" s="272" t="str">
        <f t="shared" ca="1" si="2"/>
        <v>TinMetallo Belgium N.V.</v>
      </c>
    </row>
    <row r="10" spans="1:34" s="271" customFormat="1" ht="20.100000000000001" customHeight="1">
      <c r="A10" s="347" t="s">
        <v>872</v>
      </c>
      <c r="B10" s="216" t="str">
        <f ca="1">IF(LEN(A10)=0,"",INDEX('Smelter Look-up'!$A:$A,MATCH($A10,'Smelter Look-up'!$E:$E,0)))</f>
        <v>Tin</v>
      </c>
      <c r="C10" s="220" t="str">
        <f ca="1">IF(LEN(A10)=0,"",INDEX('Smelter Look-up'!$C:$C,MATCH($A10,'Smelter Look-up'!$E:$E,0)))</f>
        <v>Mineracao Taboca S.A.</v>
      </c>
      <c r="D10" s="216"/>
      <c r="E10" s="216" t="str">
        <f ca="1">IF(ISERROR($V10),"",OFFSET('Smelter Look-up'!$D$4,$V10-4,0)&amp;"")</f>
        <v>BRAZIL</v>
      </c>
      <c r="F10" s="216" t="str">
        <f ca="1">IF(ISERROR($V10),"",OFFSET('Smelter Look-up'!$E$4,$V10-4,0))</f>
        <v>CID001173</v>
      </c>
      <c r="G10" s="216" t="str">
        <f ca="1">IF(C10=$X$4,"Enter smelter details", IF(ISERROR($V10),"",OFFSET('Smelter Look-up'!$F$4,$V10-4,0)))</f>
        <v>RMI</v>
      </c>
      <c r="H10" s="217">
        <f ca="1">IF(ISERROR($V10),"",OFFSET('Smelter Look-up'!$G$4,$V10-4,0))</f>
        <v>0</v>
      </c>
      <c r="I10" s="218" t="str">
        <f ca="1">IF(ISERROR($V10),"",OFFSET('Smelter Look-up'!$H$4,$V10-4,0))</f>
        <v>Bairro Guarapiranga</v>
      </c>
      <c r="J10" s="218" t="str">
        <f ca="1">IF(ISERROR($V10),"",OFFSET('Smelter Look-up'!$I$4,$V10-4,0))</f>
        <v>São Paulo</v>
      </c>
      <c r="K10" s="267"/>
      <c r="L10" s="267"/>
      <c r="M10" s="267"/>
      <c r="N10" s="267"/>
      <c r="O10" s="267"/>
      <c r="P10" s="219"/>
      <c r="Q10" s="268"/>
      <c r="R10" s="216" t="str">
        <f ca="1">IF(ISERROR($V10),"",OFFSET('Smelter Look-up'!$C$4,$V10-4,0)&amp;"")</f>
        <v>Mineracao Taboca S.A.</v>
      </c>
      <c r="S10" s="224" t="str">
        <f t="shared" ca="1" si="0"/>
        <v>BR</v>
      </c>
      <c r="T10" s="224" t="str">
        <f ca="1">IF(B10="","",IF(ISERROR(MATCH($J10,SorP!$B$1:$B$6230,0)),"",INDIRECT("'SorP'!$A$"&amp;MATCH($J10,SorP!$B$1:$B$6230,0))))</f>
        <v>BR-SP</v>
      </c>
      <c r="U10" s="239"/>
      <c r="V10" s="269">
        <f ca="1">IF(C10="",NA(),MATCH($B10&amp;$C10,'Smelter Look-up'!$J:$J,0))</f>
        <v>425</v>
      </c>
      <c r="W10" s="270"/>
      <c r="X10" s="270">
        <f t="shared" ca="1" si="1"/>
        <v>0</v>
      </c>
      <c r="Y10" s="270"/>
      <c r="Z10" s="270"/>
      <c r="AB10" s="272" t="str">
        <f t="shared" ca="1" si="2"/>
        <v>TinMineracao Taboca S.A.</v>
      </c>
    </row>
    <row r="11" spans="1:34" s="271" customFormat="1" ht="20.100000000000001" customHeight="1">
      <c r="A11" s="347" t="s">
        <v>873</v>
      </c>
      <c r="B11" s="216" t="str">
        <f ca="1">IF(LEN(A11)=0,"",INDEX('Smelter Look-up'!$A:$A,MATCH($A11,'Smelter Look-up'!$E:$E,0)))</f>
        <v>Tin</v>
      </c>
      <c r="C11" s="220" t="str">
        <f ca="1">IF(LEN(A11)=0,"",INDEX('Smelter Look-up'!$C:$C,MATCH($A11,'Smelter Look-up'!$E:$E,0)))</f>
        <v>Minsur</v>
      </c>
      <c r="D11" s="216"/>
      <c r="E11" s="216" t="str">
        <f ca="1">IF(ISERROR($V11),"",OFFSET('Smelter Look-up'!$D$4,$V11-4,0)&amp;"")</f>
        <v>PERU</v>
      </c>
      <c r="F11" s="216" t="str">
        <f ca="1">IF(ISERROR($V11),"",OFFSET('Smelter Look-up'!$E$4,$V11-4,0))</f>
        <v>CID001182</v>
      </c>
      <c r="G11" s="216" t="str">
        <f ca="1">IF(C11=$X$4,"Enter smelter details", IF(ISERROR($V11),"",OFFSET('Smelter Look-up'!$F$4,$V11-4,0)))</f>
        <v>RMI</v>
      </c>
      <c r="H11" s="217">
        <f ca="1">IF(ISERROR($V11),"",OFFSET('Smelter Look-up'!$G$4,$V11-4,0))</f>
        <v>0</v>
      </c>
      <c r="I11" s="218" t="str">
        <f ca="1">IF(ISERROR($V11),"",OFFSET('Smelter Look-up'!$H$4,$V11-4,0))</f>
        <v>Paracas</v>
      </c>
      <c r="J11" s="218" t="str">
        <f ca="1">IF(ISERROR($V11),"",OFFSET('Smelter Look-up'!$I$4,$V11-4,0))</f>
        <v>Ika</v>
      </c>
      <c r="K11" s="267"/>
      <c r="L11" s="267"/>
      <c r="M11" s="267"/>
      <c r="N11" s="267"/>
      <c r="O11" s="267"/>
      <c r="P11" s="219"/>
      <c r="Q11" s="268"/>
      <c r="R11" s="216" t="str">
        <f ca="1">IF(ISERROR($V11),"",OFFSET('Smelter Look-up'!$C$4,$V11-4,0)&amp;"")</f>
        <v>Minsur</v>
      </c>
      <c r="S11" s="224" t="str">
        <f t="shared" ca="1" si="0"/>
        <v>PE</v>
      </c>
      <c r="T11" s="224" t="str">
        <f ca="1">IF(B11="","",IF(ISERROR(MATCH($J11,SorP!$B$1:$B$6230,0)),"",INDIRECT("'SorP'!$A$"&amp;MATCH($J11,SorP!$B$1:$B$6230,0))))</f>
        <v>PE-ICA</v>
      </c>
      <c r="U11" s="239"/>
      <c r="V11" s="269">
        <f ca="1">IF(C11="",NA(),MATCH($B11&amp;$C11,'Smelter Look-up'!$J:$J,0))</f>
        <v>428</v>
      </c>
      <c r="W11" s="270"/>
      <c r="X11" s="270">
        <f t="shared" ca="1" si="1"/>
        <v>0</v>
      </c>
      <c r="Y11" s="270"/>
      <c r="Z11" s="270"/>
      <c r="AB11" s="272" t="str">
        <f t="shared" ca="1" si="2"/>
        <v>TinMinsur</v>
      </c>
    </row>
    <row r="12" spans="1:34" s="271" customFormat="1" ht="63.75">
      <c r="A12" s="347" t="s">
        <v>877</v>
      </c>
      <c r="B12" s="216" t="str">
        <f ca="1">IF(LEN(A12)=0,"",INDEX('Smelter Look-up'!$A:$A,MATCH($A12,'Smelter Look-up'!$E:$E,0)))</f>
        <v>Tin</v>
      </c>
      <c r="C12" s="220" t="str">
        <f ca="1">IF(LEN(A12)=0,"",INDEX('Smelter Look-up'!$C:$C,MATCH($A12,'Smelter Look-up'!$E:$E,0)))</f>
        <v>Operaciones Metalurgicas S.A.</v>
      </c>
      <c r="D12" s="216"/>
      <c r="E12" s="216" t="str">
        <f ca="1">IF(ISERROR($V12),"",OFFSET('Smelter Look-up'!$D$4,$V12-4,0)&amp;"")</f>
        <v>BOLIVIA (PLURINATIONAL STATE OF)</v>
      </c>
      <c r="F12" s="216" t="str">
        <f ca="1">IF(ISERROR($V12),"",OFFSET('Smelter Look-up'!$E$4,$V12-4,0))</f>
        <v>CID001337</v>
      </c>
      <c r="G12" s="216" t="str">
        <f ca="1">IF(C12=$X$4,"Enter smelter details", IF(ISERROR($V12),"",OFFSET('Smelter Look-up'!$F$4,$V12-4,0)))</f>
        <v>RMI</v>
      </c>
      <c r="H12" s="217">
        <f ca="1">IF(ISERROR($V12),"",OFFSET('Smelter Look-up'!$G$4,$V12-4,0))</f>
        <v>0</v>
      </c>
      <c r="I12" s="218" t="str">
        <f ca="1">IF(ISERROR($V12),"",OFFSET('Smelter Look-up'!$H$4,$V12-4,0))</f>
        <v>Oruro</v>
      </c>
      <c r="J12" s="218" t="str">
        <f ca="1">IF(ISERROR($V12),"",OFFSET('Smelter Look-up'!$I$4,$V12-4,0))</f>
        <v>Oruro</v>
      </c>
      <c r="K12" s="267"/>
      <c r="L12" s="267"/>
      <c r="M12" s="267"/>
      <c r="N12" s="267"/>
      <c r="O12" s="267"/>
      <c r="P12" s="219"/>
      <c r="Q12" s="268"/>
      <c r="R12" s="216" t="str">
        <f ca="1">IF(ISERROR($V12),"",OFFSET('Smelter Look-up'!$C$4,$V12-4,0)&amp;"")</f>
        <v>Operaciones Metalurgicas S.A.</v>
      </c>
      <c r="S12" s="224" t="str">
        <f t="shared" ca="1" si="0"/>
        <v>BO</v>
      </c>
      <c r="T12" s="224" t="str">
        <f ca="1">IF(B12="","",IF(ISERROR(MATCH($J12,SorP!$B$1:$B$6230,0)),"",INDIRECT("'SorP'!$A$"&amp;MATCH($J12,SorP!$B$1:$B$6230,0))))</f>
        <v>BO-O</v>
      </c>
      <c r="U12" s="239"/>
      <c r="V12" s="269">
        <f ca="1">IF(C12="",NA(),MATCH($B12&amp;$C12,'Smelter Look-up'!$J:$J,0))</f>
        <v>438</v>
      </c>
      <c r="W12" s="270"/>
      <c r="X12" s="270">
        <f t="shared" ca="1" si="1"/>
        <v>0</v>
      </c>
      <c r="Y12" s="270"/>
      <c r="Z12" s="270"/>
      <c r="AB12" s="272" t="str">
        <f t="shared" ca="1" si="2"/>
        <v>TinOperaciones Metalurgicas S.A.</v>
      </c>
    </row>
    <row r="13" spans="1:34" s="271" customFormat="1" ht="38.25">
      <c r="A13" s="347" t="s">
        <v>882</v>
      </c>
      <c r="B13" s="216" t="str">
        <f ca="1">IF(LEN(A13)=0,"",INDEX('Smelter Look-up'!$A:$A,MATCH($A13,'Smelter Look-up'!$E:$E,0)))</f>
        <v>Tin</v>
      </c>
      <c r="C13" s="220" t="str">
        <f ca="1">IF(LEN(A13)=0,"",INDEX('Smelter Look-up'!$C:$C,MATCH($A13,'Smelter Look-up'!$E:$E,0)))</f>
        <v>PT Bukit Timah</v>
      </c>
      <c r="D13" s="216"/>
      <c r="E13" s="216" t="str">
        <f ca="1">IF(ISERROR($V13),"",OFFSET('Smelter Look-up'!$D$4,$V13-4,0)&amp;"")</f>
        <v>INDONESIA</v>
      </c>
      <c r="F13" s="216" t="str">
        <f ca="1">IF(ISERROR($V13),"",OFFSET('Smelter Look-up'!$E$4,$V13-4,0))</f>
        <v>CID001428</v>
      </c>
      <c r="G13" s="216" t="str">
        <f ca="1">IF(C13=$X$4,"Enter smelter details", IF(ISERROR($V13),"",OFFSET('Smelter Look-up'!$F$4,$V13-4,0)))</f>
        <v>RMI</v>
      </c>
      <c r="H13" s="217">
        <f ca="1">IF(ISERROR($V13),"",OFFSET('Smelter Look-up'!$G$4,$V13-4,0))</f>
        <v>0</v>
      </c>
      <c r="I13" s="218" t="str">
        <f ca="1">IF(ISERROR($V13),"",OFFSET('Smelter Look-up'!$H$4,$V13-4,0))</f>
        <v>Pangkal Pinang</v>
      </c>
      <c r="J13" s="218" t="str">
        <f ca="1">IF(ISERROR($V13),"",OFFSET('Smelter Look-up'!$I$4,$V13-4,0))</f>
        <v>Kepulauan Bangka Belitung</v>
      </c>
      <c r="K13" s="267"/>
      <c r="L13" s="267"/>
      <c r="M13" s="267"/>
      <c r="N13" s="267"/>
      <c r="O13" s="267"/>
      <c r="P13" s="219"/>
      <c r="Q13" s="268"/>
      <c r="R13" s="216" t="str">
        <f ca="1">IF(ISERROR($V13),"",OFFSET('Smelter Look-up'!$C$4,$V13-4,0)&amp;"")</f>
        <v>PT Bukit Timah</v>
      </c>
      <c r="S13" s="224" t="str">
        <f t="shared" ca="1" si="0"/>
        <v>ID</v>
      </c>
      <c r="T13" s="224" t="str">
        <f ca="1">IF(B13="","",IF(ISERROR(MATCH($J13,SorP!$B$1:$B$6230,0)),"",INDIRECT("'SorP'!$A$"&amp;MATCH($J13,SorP!$B$1:$B$6230,0))))</f>
        <v>ID-BB</v>
      </c>
      <c r="U13" s="239"/>
      <c r="V13" s="269">
        <f ca="1">IF(C13="",NA(),MATCH($B13&amp;$C13,'Smelter Look-up'!$J:$J,0))</f>
        <v>452</v>
      </c>
      <c r="W13" s="270"/>
      <c r="X13" s="270">
        <f t="shared" ca="1" si="1"/>
        <v>0</v>
      </c>
      <c r="Y13" s="270"/>
      <c r="Z13" s="270"/>
      <c r="AB13" s="272" t="str">
        <f t="shared" ca="1" si="2"/>
        <v>TinPT Bukit Timah</v>
      </c>
    </row>
    <row r="14" spans="1:34" s="271" customFormat="1" ht="51">
      <c r="A14" s="347" t="s">
        <v>890</v>
      </c>
      <c r="B14" s="216" t="str">
        <f ca="1">IF(LEN(A14)=0,"",INDEX('Smelter Look-up'!$A:$A,MATCH($A14,'Smelter Look-up'!$E:$E,0)))</f>
        <v>Tin</v>
      </c>
      <c r="C14" s="220" t="str">
        <f ca="1">IF(LEN(A14)=0,"",INDEX('Smelter Look-up'!$C:$C,MATCH($A14,'Smelter Look-up'!$E:$E,0)))</f>
        <v>PT Stanindo Inti Perkasa</v>
      </c>
      <c r="D14" s="216"/>
      <c r="E14" s="216" t="str">
        <f ca="1">IF(ISERROR($V14),"",OFFSET('Smelter Look-up'!$D$4,$V14-4,0)&amp;"")</f>
        <v>INDONESIA</v>
      </c>
      <c r="F14" s="216" t="str">
        <f ca="1">IF(ISERROR($V14),"",OFFSET('Smelter Look-up'!$E$4,$V14-4,0))</f>
        <v>CID001468</v>
      </c>
      <c r="G14" s="216" t="str">
        <f ca="1">IF(C14=$X$4,"Enter smelter details", IF(ISERROR($V14),"",OFFSET('Smelter Look-up'!$F$4,$V14-4,0)))</f>
        <v>RMI</v>
      </c>
      <c r="H14" s="217">
        <f ca="1">IF(ISERROR($V14),"",OFFSET('Smelter Look-up'!$G$4,$V14-4,0))</f>
        <v>0</v>
      </c>
      <c r="I14" s="218" t="str">
        <f ca="1">IF(ISERROR($V14),"",OFFSET('Smelter Look-up'!$H$4,$V14-4,0))</f>
        <v>Pangkal Pinang</v>
      </c>
      <c r="J14" s="218" t="str">
        <f ca="1">IF(ISERROR($V14),"",OFFSET('Smelter Look-up'!$I$4,$V14-4,0))</f>
        <v>Kepulauan Bangka Belitung</v>
      </c>
      <c r="K14" s="267"/>
      <c r="L14" s="267"/>
      <c r="M14" s="267"/>
      <c r="N14" s="267"/>
      <c r="O14" s="267"/>
      <c r="P14" s="219"/>
      <c r="Q14" s="268"/>
      <c r="R14" s="216" t="str">
        <f ca="1">IF(ISERROR($V14),"",OFFSET('Smelter Look-up'!$C$4,$V14-4,0)&amp;"")</f>
        <v>PT Stanindo Inti Perkasa</v>
      </c>
      <c r="S14" s="224" t="str">
        <f t="shared" ca="1" si="0"/>
        <v>ID</v>
      </c>
      <c r="T14" s="224" t="str">
        <f ca="1">IF(B14="","",IF(ISERROR(MATCH($J14,SorP!$B$1:$B$6230,0)),"",INDIRECT("'SorP'!$A$"&amp;MATCH($J14,SorP!$B$1:$B$6230,0))))</f>
        <v>ID-BB</v>
      </c>
      <c r="U14" s="239"/>
      <c r="V14" s="269">
        <f ca="1">IF(C14="",NA(),MATCH($B14&amp;$C14,'Smelter Look-up'!$J:$J,0))</f>
        <v>468</v>
      </c>
      <c r="W14" s="270"/>
      <c r="X14" s="270">
        <f t="shared" ca="1" si="1"/>
        <v>0</v>
      </c>
      <c r="Y14" s="270"/>
      <c r="Z14" s="270"/>
      <c r="AB14" s="272" t="str">
        <f t="shared" ca="1" si="2"/>
        <v>TinPT Stanindo Inti Perkasa</v>
      </c>
    </row>
    <row r="15" spans="1:34" s="271" customFormat="1" ht="51">
      <c r="A15" s="347" t="s">
        <v>914</v>
      </c>
      <c r="B15" s="216" t="str">
        <f ca="1">IF(LEN(A15)=0,"",INDEX('Smelter Look-up'!$A:$A,MATCH($A15,'Smelter Look-up'!$E:$E,0)))</f>
        <v>Tin</v>
      </c>
      <c r="C15" s="220" t="str">
        <f ca="1">IF(LEN(A15)=0,"",INDEX('Smelter Look-up'!$C:$C,MATCH($A15,'Smelter Look-up'!$E:$E,0)))</f>
        <v>PT Timah Tbk Kundur</v>
      </c>
      <c r="D15" s="216"/>
      <c r="E15" s="216" t="str">
        <f ca="1">IF(ISERROR($V15),"",OFFSET('Smelter Look-up'!$D$4,$V15-4,0)&amp;"")</f>
        <v>INDONESIA</v>
      </c>
      <c r="F15" s="216" t="str">
        <f ca="1">IF(ISERROR($V15),"",OFFSET('Smelter Look-up'!$E$4,$V15-4,0))</f>
        <v>CID001477</v>
      </c>
      <c r="G15" s="216" t="str">
        <f ca="1">IF(C15=$X$4,"Enter smelter details", IF(ISERROR($V15),"",OFFSET('Smelter Look-up'!$F$4,$V15-4,0)))</f>
        <v>RMI</v>
      </c>
      <c r="H15" s="217">
        <f ca="1">IF(ISERROR($V15),"",OFFSET('Smelter Look-up'!$G$4,$V15-4,0))</f>
        <v>0</v>
      </c>
      <c r="I15" s="218" t="str">
        <f ca="1">IF(ISERROR($V15),"",OFFSET('Smelter Look-up'!$H$4,$V15-4,0))</f>
        <v>Kundur</v>
      </c>
      <c r="J15" s="218" t="str">
        <f ca="1">IF(ISERROR($V15),"",OFFSET('Smelter Look-up'!$I$4,$V15-4,0))</f>
        <v>Riau</v>
      </c>
      <c r="K15" s="267"/>
      <c r="L15" s="267"/>
      <c r="M15" s="267"/>
      <c r="N15" s="267"/>
      <c r="O15" s="267"/>
      <c r="P15" s="219"/>
      <c r="Q15" s="268"/>
      <c r="R15" s="216" t="str">
        <f ca="1">IF(ISERROR($V15),"",OFFSET('Smelter Look-up'!$C$4,$V15-4,0)&amp;"")</f>
        <v>PT Timah Tbk Kundur</v>
      </c>
      <c r="S15" s="224" t="str">
        <f t="shared" ca="1" si="0"/>
        <v>ID</v>
      </c>
      <c r="T15" s="224" t="str">
        <f ca="1">IF(B15="","",IF(ISERROR(MATCH($J15,SorP!$B$1:$B$6230,0)),"",INDIRECT("'SorP'!$A$"&amp;MATCH($J15,SorP!$B$1:$B$6230,0))))</f>
        <v>ID-RI</v>
      </c>
      <c r="U15" s="239"/>
      <c r="V15" s="269">
        <f ca="1">IF(C15="",NA(),MATCH($B15&amp;$C15,'Smelter Look-up'!$J:$J,0))</f>
        <v>472</v>
      </c>
      <c r="W15" s="270"/>
      <c r="X15" s="270">
        <f t="shared" ca="1" si="1"/>
        <v>0</v>
      </c>
      <c r="Y15" s="270"/>
      <c r="Z15" s="270"/>
      <c r="AB15" s="272" t="str">
        <f t="shared" ca="1" si="2"/>
        <v>TinPT Timah Tbk Kundur</v>
      </c>
    </row>
    <row r="16" spans="1:34" s="271" customFormat="1" ht="51">
      <c r="A16" s="347" t="s">
        <v>891</v>
      </c>
      <c r="B16" s="216" t="str">
        <f ca="1">IF(LEN(A16)=0,"",INDEX('Smelter Look-up'!$A:$A,MATCH($A16,'Smelter Look-up'!$E:$E,0)))</f>
        <v>Tin</v>
      </c>
      <c r="C16" s="220" t="str">
        <f ca="1">IF(LEN(A16)=0,"",INDEX('Smelter Look-up'!$C:$C,MATCH($A16,'Smelter Look-up'!$E:$E,0)))</f>
        <v>PT Timah Tbk Mentok</v>
      </c>
      <c r="D16" s="216"/>
      <c r="E16" s="216" t="str">
        <f ca="1">IF(ISERROR($V16),"",OFFSET('Smelter Look-up'!$D$4,$V16-4,0)&amp;"")</f>
        <v>INDONESIA</v>
      </c>
      <c r="F16" s="216" t="str">
        <f ca="1">IF(ISERROR($V16),"",OFFSET('Smelter Look-up'!$E$4,$V16-4,0))</f>
        <v>CID001482</v>
      </c>
      <c r="G16" s="216" t="str">
        <f ca="1">IF(C16=$X$4,"Enter smelter details", IF(ISERROR($V16),"",OFFSET('Smelter Look-up'!$F$4,$V16-4,0)))</f>
        <v>RMI</v>
      </c>
      <c r="H16" s="217">
        <f ca="1">IF(ISERROR($V16),"",OFFSET('Smelter Look-up'!$G$4,$V16-4,0))</f>
        <v>0</v>
      </c>
      <c r="I16" s="218" t="str">
        <f ca="1">IF(ISERROR($V16),"",OFFSET('Smelter Look-up'!$H$4,$V16-4,0))</f>
        <v>Mentok</v>
      </c>
      <c r="J16" s="218" t="str">
        <f ca="1">IF(ISERROR($V16),"",OFFSET('Smelter Look-up'!$I$4,$V16-4,0))</f>
        <v>Kepulauan Bangka Belitung</v>
      </c>
      <c r="K16" s="267"/>
      <c r="L16" s="267"/>
      <c r="M16" s="267"/>
      <c r="N16" s="267"/>
      <c r="O16" s="267"/>
      <c r="P16" s="219"/>
      <c r="Q16" s="268"/>
      <c r="R16" s="216" t="str">
        <f ca="1">IF(ISERROR($V16),"",OFFSET('Smelter Look-up'!$C$4,$V16-4,0)&amp;"")</f>
        <v>PT Timah Tbk Mentok</v>
      </c>
      <c r="S16" s="224" t="str">
        <f t="shared" ca="1" si="0"/>
        <v>ID</v>
      </c>
      <c r="T16" s="224" t="str">
        <f ca="1">IF(B16="","",IF(ISERROR(MATCH($J16,SorP!$B$1:$B$6230,0)),"",INDIRECT("'SorP'!$A$"&amp;MATCH($J16,SorP!$B$1:$B$6230,0))))</f>
        <v>ID-BB</v>
      </c>
      <c r="U16" s="239"/>
      <c r="V16" s="269">
        <f ca="1">IF(C16="",NA(),MATCH($B16&amp;$C16,'Smelter Look-up'!$J:$J,0))</f>
        <v>473</v>
      </c>
      <c r="W16" s="270"/>
      <c r="X16" s="270">
        <f t="shared" ca="1" si="1"/>
        <v>0</v>
      </c>
      <c r="Y16" s="270"/>
      <c r="Z16" s="270"/>
      <c r="AB16" s="272" t="str">
        <f t="shared" ca="1" si="2"/>
        <v>TinPT Timah Tbk Mentok</v>
      </c>
    </row>
    <row r="17" spans="1:28" s="271" customFormat="1" ht="51">
      <c r="A17" s="347" t="s">
        <v>857</v>
      </c>
      <c r="B17" s="216" t="str">
        <f ca="1">IF(LEN(A17)=0,"",INDEX('Smelter Look-up'!$A:$A,MATCH($A17,'Smelter Look-up'!$E:$E,0)))</f>
        <v>Tantalum</v>
      </c>
      <c r="C17" s="220" t="str">
        <f ca="1">IF(LEN(A17)=0,"",INDEX('Smelter Look-up'!$C:$C,MATCH($A17,'Smelter Look-up'!$E:$E,0)))</f>
        <v>Taki Chemical Co., Ltd.</v>
      </c>
      <c r="D17" s="216"/>
      <c r="E17" s="216" t="str">
        <f ca="1">IF(ISERROR($V17),"",OFFSET('Smelter Look-up'!$D$4,$V17-4,0)&amp;"")</f>
        <v>JAPAN</v>
      </c>
      <c r="F17" s="216" t="str">
        <f ca="1">IF(ISERROR($V17),"",OFFSET('Smelter Look-up'!$E$4,$V17-4,0))</f>
        <v>CID001869</v>
      </c>
      <c r="G17" s="216" t="str">
        <f ca="1">IF(C17=$X$4,"Enter smelter details", IF(ISERROR($V17),"",OFFSET('Smelter Look-up'!$F$4,$V17-4,0)))</f>
        <v>RMI</v>
      </c>
      <c r="H17" s="217">
        <f ca="1">IF(ISERROR($V17),"",OFFSET('Smelter Look-up'!$G$4,$V17-4,0))</f>
        <v>0</v>
      </c>
      <c r="I17" s="218" t="str">
        <f ca="1">IF(ISERROR($V17),"",OFFSET('Smelter Look-up'!$H$4,$V17-4,0))</f>
        <v>Harima</v>
      </c>
      <c r="J17" s="218" t="str">
        <f ca="1">IF(ISERROR($V17),"",OFFSET('Smelter Look-up'!$I$4,$V17-4,0))</f>
        <v>Hyogo</v>
      </c>
      <c r="K17" s="267"/>
      <c r="L17" s="267"/>
      <c r="M17" s="267"/>
      <c r="N17" s="267"/>
      <c r="O17" s="267"/>
      <c r="P17" s="219"/>
      <c r="Q17" s="268"/>
      <c r="R17" s="216" t="str">
        <f ca="1">IF(ISERROR($V17),"",OFFSET('Smelter Look-up'!$C$4,$V17-4,0)&amp;"")</f>
        <v>Taki Chemical Co., Ltd.</v>
      </c>
      <c r="S17" s="224" t="str">
        <f t="shared" ca="1" si="0"/>
        <v>JP</v>
      </c>
      <c r="T17" s="224" t="str">
        <f ca="1">IF(B17="","",IF(ISERROR(MATCH($J17,SorP!$B$1:$B$6230,0)),"",INDIRECT("'SorP'!$A$"&amp;MATCH($J17,SorP!$B$1:$B$6230,0))))</f>
        <v>JP-28</v>
      </c>
      <c r="U17" s="239"/>
      <c r="V17" s="269">
        <f ca="1">IF(C17="",NA(),MATCH($B17&amp;$C17,'Smelter Look-up'!$J:$J,0))</f>
        <v>339</v>
      </c>
      <c r="W17" s="270"/>
      <c r="X17" s="270">
        <f t="shared" ca="1" si="1"/>
        <v>0</v>
      </c>
      <c r="Y17" s="270"/>
      <c r="Z17" s="270"/>
      <c r="AB17" s="272" t="str">
        <f t="shared" ca="1" si="2"/>
        <v>TantalumTaki Chemical Co., Ltd.</v>
      </c>
    </row>
    <row r="18" spans="1:28" s="271" customFormat="1" ht="20.25">
      <c r="A18" s="347"/>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KAMAYA ELECTRIC CO., LTD.</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Harumi Ito</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hitou@kamaya.co.jp</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(+81)125-65-2171</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Makoto Suzuki</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smakoto@kamaya.co.jp</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(+81)125-65-2171</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43662</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No</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f>IF(AND($B$15="Yes",$B$20="Yes"),Declaration!D50,0)</f>
        <v>1</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http://www.kamaya.co.jp/about-csr.php</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using other format (describe)</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 ca="1">IF(H62=0,"","Click here to provide smelter information")</f>
        <v/>
      </c>
      <c r="E62" s="87" t="s">
        <v>1437</v>
      </c>
      <c r="F62" s="110">
        <f>F25</f>
        <v>1</v>
      </c>
      <c r="G62" s="84">
        <f ca="1">IF(AND(COUNTIF(SmelterIdetifiedForMetal,"Tantalum")&gt;0,COUNTIF('Smelter List'!AB$5:AB$2493,"Tantalum?*")&gt;0),0,1)</f>
        <v>0</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List'!AB$5:AB$2493,"Tin?*")&gt;0),0,1)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List'!AB$5:AB$2493,"Gold?*")&gt;0),0,1)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 ca="1">IF(H65=0,"","Click here to provide smelter information")</f>
        <v/>
      </c>
      <c r="E65" s="87" t="s">
        <v>918</v>
      </c>
      <c r="F65" s="110">
        <f>F28</f>
        <v>0</v>
      </c>
      <c r="G65" s="84">
        <f ca="1">IF(AND(COUNTIF(SmelterIdetifiedForMetal,"Tungsten")&gt;0,COUNTIF('Smelter List'!AB$5:AB$2493,"Tungsten?*")&gt;0),0,1)</f>
        <v>1</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85" zoomScaleNormal="85" zoomScalePageLayoutView="70" workbookViewId="0">
      <pane xSplit="2" ySplit="5" topLeftCell="C6" activePane="bottomRight" state="frozen"/>
      <selection pane="topRight" activeCell="C1" sqref="C1"/>
      <selection pane="bottomLeft" activeCell="A6" sqref="A6"/>
      <selection pane="bottomRight" activeCell="B6" sqref="B6:C6"/>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9"/>
    </row>
    <row r="2" spans="1:6">
      <c r="A2" s="29"/>
      <c r="B2" s="151"/>
      <c r="C2" s="151"/>
      <c r="D2"/>
      <c r="E2" s="30"/>
    </row>
    <row r="3" spans="1:6">
      <c r="A3" s="29"/>
      <c r="B3" s="151"/>
      <c r="C3" s="151"/>
      <c r="D3" s="151"/>
      <c r="E3" s="30"/>
    </row>
    <row r="4" spans="1:6" ht="15.75" customHeight="1">
      <c r="A4" s="29"/>
      <c r="B4" s="446" t="s">
        <v>1014</v>
      </c>
      <c r="C4" s="446"/>
      <c r="D4" s="446"/>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348"/>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9" t="str">
        <f ca="1">OFFSET(L!$C$1,MATCH("General"&amp;"Cpy",L!$A:$A,0)-1,SL,,)</f>
        <v>© 2019 Responsible Minerals Initiative. All rights reserved.</v>
      </c>
      <c r="C1001" s="449"/>
      <c r="D1001" s="449"/>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84.7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99.2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8.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6.7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21.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8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4.2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84.7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10">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90">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50">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70.5">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20">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2.75">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8.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42">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71">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56.7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27.75">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7.7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8.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42.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71">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42.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4">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28.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42">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56.75">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8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70.7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07">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99.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5">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0">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7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8.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8.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8.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2.75">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8.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2.75">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7">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2.75">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2.75">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2.75">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2.7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2.7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2.7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2.75">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85.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user</cp:lastModifiedBy>
  <cp:lastPrinted>2015-04-21T20:47:43Z</cp:lastPrinted>
  <dcterms:created xsi:type="dcterms:W3CDTF">2010-06-21T21:00:23Z</dcterms:created>
  <dcterms:modified xsi:type="dcterms:W3CDTF">2019-09-03T06:09:45Z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